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est/Desktop/Dokumen/DIKLAT DASAR PBTI/"/>
    </mc:Choice>
  </mc:AlternateContent>
  <xr:revisionPtr revIDLastSave="0" documentId="13_ncr:1_{66DF224B-1B1C-884F-B0C3-4AF2A30E38AE}" xr6:coauthVersionLast="47" xr6:coauthVersionMax="47" xr10:uidLastSave="{00000000-0000-0000-0000-000000000000}"/>
  <bookViews>
    <workbookView xWindow="0" yWindow="500" windowWidth="28800" windowHeight="16320" xr2:uid="{618C13EE-4141-3046-AFCC-62C7F7FEADBC}"/>
  </bookViews>
  <sheets>
    <sheet name="Profil Kondisi Fisik" sheetId="4" r:id="rId1"/>
  </sheets>
  <definedNames>
    <definedName name="DataIdentitas">#REF!</definedName>
    <definedName name="DataTes">#REF!</definedName>
    <definedName name="DATATESPARAMETER">#REF!</definedName>
    <definedName name="Fix">'Profil Kondisi Fisik'!$A$2:$AV$22</definedName>
    <definedName name="GAP">#REF!</definedName>
    <definedName name="IDENTITASatlet">#REF!</definedName>
    <definedName name="ListName">#REF!</definedName>
    <definedName name="Month">#REF!</definedName>
    <definedName name="NAMA">#REF!</definedName>
    <definedName name="RANK">#REF!</definedName>
    <definedName name="TES_1">'Profil Kondisi Fisik'!$A$2:$AV$25</definedName>
    <definedName name="TES_2">'Profil Kondisi Fisik'!$B$3:$AU$22</definedName>
    <definedName name="TEST">'Profil Kondisi Fisik'!$B$3:$AL$12</definedName>
    <definedName name="test1" localSheetId="0">'Profil Kondisi Fisik'!$B$3:$AV$22</definedName>
    <definedName name="test1">#REF!</definedName>
    <definedName name="TESt2" localSheetId="0">'Profil Kondisi Fisik'!$B$3:$AO$22</definedName>
    <definedName name="TESt2">#REF!</definedName>
    <definedName name="TEST4">'Profil Kondisi Fisik'!$C$30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U14" i="4" l="1"/>
  <c r="AU15" i="4"/>
  <c r="AU16" i="4"/>
  <c r="AU17" i="4"/>
  <c r="AU18" i="4"/>
  <c r="AU19" i="4"/>
  <c r="AU20" i="4"/>
  <c r="AU21" i="4"/>
  <c r="AU22" i="4"/>
  <c r="AU4" i="4"/>
  <c r="AU5" i="4"/>
  <c r="AU6" i="4"/>
  <c r="AU7" i="4"/>
  <c r="AU8" i="4"/>
  <c r="AU9" i="4"/>
  <c r="AU10" i="4"/>
  <c r="AU11" i="4"/>
  <c r="AU12" i="4"/>
  <c r="AR14" i="4"/>
  <c r="AR15" i="4"/>
  <c r="AR16" i="4"/>
  <c r="AR17" i="4"/>
  <c r="AR18" i="4"/>
  <c r="AR19" i="4"/>
  <c r="AR20" i="4"/>
  <c r="AR21" i="4"/>
  <c r="AR22" i="4"/>
  <c r="AR4" i="4"/>
  <c r="AR5" i="4"/>
  <c r="AR6" i="4"/>
  <c r="AR7" i="4"/>
  <c r="AR8" i="4"/>
  <c r="AR9" i="4"/>
  <c r="AR10" i="4"/>
  <c r="AR11" i="4"/>
  <c r="AR12" i="4"/>
  <c r="AP14" i="4"/>
  <c r="AP15" i="4"/>
  <c r="AP16" i="4"/>
  <c r="AP17" i="4"/>
  <c r="AP18" i="4"/>
  <c r="AP19" i="4"/>
  <c r="AP20" i="4"/>
  <c r="AP21" i="4"/>
  <c r="AP22" i="4"/>
  <c r="AP4" i="4"/>
  <c r="AP5" i="4"/>
  <c r="AP6" i="4"/>
  <c r="AP7" i="4"/>
  <c r="AP8" i="4"/>
  <c r="AP9" i="4"/>
  <c r="AP10" i="4"/>
  <c r="AP11" i="4"/>
  <c r="AP12" i="4"/>
  <c r="AN14" i="4"/>
  <c r="AN15" i="4"/>
  <c r="AN16" i="4"/>
  <c r="AN17" i="4"/>
  <c r="AN18" i="4"/>
  <c r="AN19" i="4"/>
  <c r="AN20" i="4"/>
  <c r="AN21" i="4"/>
  <c r="AN22" i="4"/>
  <c r="AN4" i="4"/>
  <c r="AN5" i="4"/>
  <c r="AN6" i="4"/>
  <c r="AN7" i="4"/>
  <c r="AN8" i="4"/>
  <c r="AN9" i="4"/>
  <c r="AN10" i="4"/>
  <c r="AN11" i="4"/>
  <c r="AN12" i="4"/>
  <c r="AL14" i="4"/>
  <c r="AL15" i="4"/>
  <c r="AL16" i="4"/>
  <c r="AL17" i="4"/>
  <c r="AL18" i="4"/>
  <c r="AL19" i="4"/>
  <c r="AL20" i="4"/>
  <c r="AL21" i="4"/>
  <c r="AL22" i="4"/>
  <c r="AL4" i="4"/>
  <c r="AL5" i="4"/>
  <c r="AL6" i="4"/>
  <c r="AL7" i="4"/>
  <c r="AL8" i="4"/>
  <c r="AL9" i="4"/>
  <c r="AL10" i="4"/>
  <c r="AL11" i="4"/>
  <c r="AL12" i="4"/>
  <c r="AJ14" i="4"/>
  <c r="AJ15" i="4"/>
  <c r="AJ16" i="4"/>
  <c r="AJ17" i="4"/>
  <c r="AJ18" i="4"/>
  <c r="AJ19" i="4"/>
  <c r="AJ20" i="4"/>
  <c r="AJ21" i="4"/>
  <c r="AJ22" i="4"/>
  <c r="AJ4" i="4"/>
  <c r="AJ5" i="4"/>
  <c r="AJ6" i="4"/>
  <c r="AJ7" i="4"/>
  <c r="AJ8" i="4"/>
  <c r="AJ9" i="4"/>
  <c r="AJ10" i="4"/>
  <c r="AJ11" i="4"/>
  <c r="AJ12" i="4"/>
  <c r="AH14" i="4"/>
  <c r="AH15" i="4"/>
  <c r="AH16" i="4"/>
  <c r="AH17" i="4"/>
  <c r="AH18" i="4"/>
  <c r="AH19" i="4"/>
  <c r="AH20" i="4"/>
  <c r="AH21" i="4"/>
  <c r="AH22" i="4"/>
  <c r="AH4" i="4"/>
  <c r="AH5" i="4"/>
  <c r="AH6" i="4"/>
  <c r="AH7" i="4"/>
  <c r="AH8" i="4"/>
  <c r="AH9" i="4"/>
  <c r="AH10" i="4"/>
  <c r="AH11" i="4"/>
  <c r="AH12" i="4"/>
  <c r="AF14" i="4"/>
  <c r="AF15" i="4"/>
  <c r="AF16" i="4"/>
  <c r="AF17" i="4"/>
  <c r="AF18" i="4"/>
  <c r="AF19" i="4"/>
  <c r="AF20" i="4"/>
  <c r="AF21" i="4"/>
  <c r="AF22" i="4"/>
  <c r="AF4" i="4"/>
  <c r="AF5" i="4"/>
  <c r="AF6" i="4"/>
  <c r="AF7" i="4"/>
  <c r="AF8" i="4"/>
  <c r="AF9" i="4"/>
  <c r="AF10" i="4"/>
  <c r="AF11" i="4"/>
  <c r="AF12" i="4"/>
  <c r="AD14" i="4"/>
  <c r="AD15" i="4"/>
  <c r="AD16" i="4"/>
  <c r="AD17" i="4"/>
  <c r="AD18" i="4"/>
  <c r="AD19" i="4"/>
  <c r="AD20" i="4"/>
  <c r="AD21" i="4"/>
  <c r="AD22" i="4"/>
  <c r="AD4" i="4"/>
  <c r="AD5" i="4"/>
  <c r="AD6" i="4"/>
  <c r="AD7" i="4"/>
  <c r="AD8" i="4"/>
  <c r="AD9" i="4"/>
  <c r="AD10" i="4"/>
  <c r="AD11" i="4"/>
  <c r="AD12" i="4"/>
  <c r="AC4" i="4"/>
  <c r="AC5" i="4"/>
  <c r="AC6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A14" i="4"/>
  <c r="AA15" i="4"/>
  <c r="AA16" i="4"/>
  <c r="AA17" i="4"/>
  <c r="AA18" i="4"/>
  <c r="AA19" i="4"/>
  <c r="AA20" i="4"/>
  <c r="AA21" i="4"/>
  <c r="AA22" i="4"/>
  <c r="AA4" i="4"/>
  <c r="AA5" i="4"/>
  <c r="AA6" i="4"/>
  <c r="AA7" i="4"/>
  <c r="AA8" i="4"/>
  <c r="AA9" i="4"/>
  <c r="AA10" i="4"/>
  <c r="AA11" i="4"/>
  <c r="AA12" i="4"/>
  <c r="Z4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X14" i="4"/>
  <c r="X15" i="4"/>
  <c r="X16" i="4"/>
  <c r="X17" i="4"/>
  <c r="X18" i="4"/>
  <c r="X19" i="4"/>
  <c r="X20" i="4"/>
  <c r="X21" i="4"/>
  <c r="X22" i="4"/>
  <c r="X4" i="4"/>
  <c r="X5" i="4"/>
  <c r="X6" i="4"/>
  <c r="X7" i="4"/>
  <c r="X8" i="4"/>
  <c r="X9" i="4"/>
  <c r="X10" i="4"/>
  <c r="X11" i="4"/>
  <c r="X12" i="4"/>
  <c r="V14" i="4"/>
  <c r="V15" i="4"/>
  <c r="V16" i="4"/>
  <c r="V17" i="4"/>
  <c r="V18" i="4"/>
  <c r="V19" i="4"/>
  <c r="V20" i="4"/>
  <c r="V21" i="4"/>
  <c r="V22" i="4"/>
  <c r="V4" i="4"/>
  <c r="V5" i="4"/>
  <c r="V6" i="4"/>
  <c r="V7" i="4"/>
  <c r="V8" i="4"/>
  <c r="V9" i="4"/>
  <c r="V10" i="4"/>
  <c r="V11" i="4"/>
  <c r="V12" i="4"/>
  <c r="T14" i="4"/>
  <c r="T15" i="4"/>
  <c r="T16" i="4"/>
  <c r="T17" i="4"/>
  <c r="T18" i="4"/>
  <c r="T19" i="4"/>
  <c r="T20" i="4"/>
  <c r="T21" i="4"/>
  <c r="T22" i="4"/>
  <c r="T4" i="4"/>
  <c r="T5" i="4"/>
  <c r="T6" i="4"/>
  <c r="T7" i="4"/>
  <c r="T8" i="4"/>
  <c r="T9" i="4"/>
  <c r="T10" i="4"/>
  <c r="T11" i="4"/>
  <c r="T12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Q14" i="4"/>
  <c r="Q15" i="4"/>
  <c r="Q16" i="4"/>
  <c r="Q17" i="4"/>
  <c r="Q18" i="4"/>
  <c r="Q19" i="4"/>
  <c r="Q20" i="4"/>
  <c r="Q21" i="4"/>
  <c r="Q22" i="4"/>
  <c r="Q4" i="4"/>
  <c r="Q5" i="4"/>
  <c r="Q6" i="4"/>
  <c r="Q7" i="4"/>
  <c r="Q8" i="4"/>
  <c r="Q9" i="4"/>
  <c r="Q10" i="4"/>
  <c r="Q11" i="4"/>
  <c r="Q12" i="4"/>
  <c r="O14" i="4"/>
  <c r="O15" i="4"/>
  <c r="O16" i="4"/>
  <c r="O17" i="4"/>
  <c r="O18" i="4"/>
  <c r="O19" i="4"/>
  <c r="O20" i="4"/>
  <c r="O21" i="4"/>
  <c r="O22" i="4"/>
  <c r="O4" i="4"/>
  <c r="O5" i="4"/>
  <c r="O6" i="4"/>
  <c r="O7" i="4"/>
  <c r="O8" i="4"/>
  <c r="O9" i="4"/>
  <c r="O10" i="4"/>
  <c r="O11" i="4"/>
  <c r="O12" i="4"/>
  <c r="M14" i="4"/>
  <c r="M15" i="4"/>
  <c r="M16" i="4"/>
  <c r="M17" i="4"/>
  <c r="M18" i="4"/>
  <c r="M19" i="4"/>
  <c r="M20" i="4"/>
  <c r="M21" i="4"/>
  <c r="M22" i="4"/>
  <c r="M4" i="4"/>
  <c r="M5" i="4"/>
  <c r="M6" i="4"/>
  <c r="M7" i="4"/>
  <c r="M8" i="4"/>
  <c r="M9" i="4"/>
  <c r="M10" i="4"/>
  <c r="M11" i="4"/>
  <c r="M12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C27" i="4"/>
  <c r="B42" i="4" l="1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V3" i="4"/>
  <c r="C31" i="4" s="1"/>
  <c r="AV4" i="4"/>
  <c r="AV5" i="4"/>
  <c r="AV6" i="4"/>
  <c r="AV7" i="4"/>
  <c r="AV8" i="4"/>
  <c r="AV9" i="4"/>
  <c r="AV10" i="4"/>
  <c r="AV11" i="4"/>
  <c r="AV12" i="4"/>
  <c r="AV13" i="4"/>
  <c r="AV14" i="4"/>
  <c r="AV15" i="4"/>
  <c r="AV16" i="4"/>
  <c r="AV17" i="4"/>
  <c r="AV18" i="4"/>
  <c r="AV19" i="4"/>
  <c r="AV20" i="4"/>
  <c r="AV21" i="4"/>
  <c r="AV22" i="4"/>
  <c r="AV3" i="4"/>
  <c r="AT4" i="4"/>
  <c r="AT5" i="4"/>
  <c r="AT6" i="4"/>
  <c r="AT7" i="4"/>
  <c r="AT8" i="4"/>
  <c r="AT9" i="4"/>
  <c r="AT10" i="4"/>
  <c r="AT11" i="4"/>
  <c r="AT12" i="4"/>
  <c r="AT13" i="4"/>
  <c r="AU13" i="4" s="1"/>
  <c r="AT14" i="4"/>
  <c r="AT15" i="4"/>
  <c r="AT16" i="4"/>
  <c r="AT17" i="4"/>
  <c r="AT18" i="4"/>
  <c r="AT19" i="4"/>
  <c r="AT20" i="4"/>
  <c r="AT21" i="4"/>
  <c r="AT22" i="4"/>
  <c r="AR13" i="4"/>
  <c r="AR3" i="4"/>
  <c r="C41" i="4" s="1"/>
  <c r="AN3" i="4"/>
  <c r="C39" i="4" s="1"/>
  <c r="AN13" i="4"/>
  <c r="AP13" i="4"/>
  <c r="AP3" i="4"/>
  <c r="C40" i="4" s="1"/>
  <c r="AJ13" i="4"/>
  <c r="AJ3" i="4"/>
  <c r="C37" i="4" s="1"/>
  <c r="AH13" i="4"/>
  <c r="AH3" i="4"/>
  <c r="C36" i="4" s="1"/>
  <c r="AL13" i="4"/>
  <c r="AL3" i="4"/>
  <c r="C38" i="4" s="1"/>
  <c r="AA13" i="4"/>
  <c r="Z3" i="4"/>
  <c r="AA3" i="4" s="1"/>
  <c r="AD13" i="4"/>
  <c r="AF13" i="4"/>
  <c r="AF3" i="4"/>
  <c r="C35" i="4" s="1"/>
  <c r="X13" i="4"/>
  <c r="X3" i="4"/>
  <c r="AW10" i="4"/>
  <c r="AW11" i="4"/>
  <c r="AW15" i="4"/>
  <c r="AW16" i="4"/>
  <c r="AW17" i="4"/>
  <c r="AW18" i="4"/>
  <c r="AW20" i="4"/>
  <c r="AW21" i="4"/>
  <c r="Q3" i="4"/>
  <c r="O13" i="4"/>
  <c r="O3" i="4"/>
  <c r="Q13" i="4"/>
  <c r="V13" i="4"/>
  <c r="T13" i="4"/>
  <c r="T3" i="4"/>
  <c r="C30" i="4" s="1"/>
  <c r="M13" i="4"/>
  <c r="M3" i="4"/>
  <c r="C28" i="4" s="1"/>
  <c r="E3" i="4"/>
  <c r="AW13" i="4" l="1"/>
  <c r="AW9" i="4"/>
  <c r="AW22" i="4"/>
  <c r="AW19" i="4"/>
  <c r="R3" i="4"/>
  <c r="C29" i="4" s="1"/>
  <c r="AW7" i="4"/>
  <c r="AW6" i="4"/>
  <c r="AW14" i="4"/>
  <c r="AW4" i="4"/>
  <c r="AW8" i="4"/>
  <c r="AW5" i="4"/>
  <c r="AW12" i="4"/>
  <c r="AT3" i="4" l="1"/>
  <c r="AC3" i="4"/>
  <c r="AD3" i="4" s="1"/>
  <c r="H3" i="4"/>
  <c r="I3" i="4" s="1"/>
  <c r="C34" i="4" l="1"/>
  <c r="C32" i="4"/>
  <c r="C33" i="4"/>
  <c r="AU3" i="4"/>
  <c r="C42" i="4" s="1"/>
  <c r="AW3" i="4" l="1"/>
  <c r="C43" i="4" l="1"/>
</calcChain>
</file>

<file path=xl/sharedStrings.xml><?xml version="1.0" encoding="utf-8"?>
<sst xmlns="http://schemas.openxmlformats.org/spreadsheetml/2006/main" count="79" uniqueCount="57">
  <si>
    <t>REZA IRWANSYAH</t>
  </si>
  <si>
    <t>Agility</t>
  </si>
  <si>
    <t>BMI</t>
  </si>
  <si>
    <t>No</t>
  </si>
  <si>
    <t>Nama</t>
  </si>
  <si>
    <t>L/P</t>
  </si>
  <si>
    <t>Tanggal Lahir</t>
  </si>
  <si>
    <t>BB</t>
  </si>
  <si>
    <t>TB</t>
  </si>
  <si>
    <t>TB (M)</t>
  </si>
  <si>
    <t>Kelas</t>
  </si>
  <si>
    <t>Sit and Reach</t>
  </si>
  <si>
    <t>Fleksibilitas</t>
  </si>
  <si>
    <t>Kecepatan</t>
  </si>
  <si>
    <t>Shuttle 4 x 5 M</t>
  </si>
  <si>
    <t>Hand Reaction</t>
  </si>
  <si>
    <t>Push Up 1 min</t>
  </si>
  <si>
    <t>DT Kekuatan Upper</t>
  </si>
  <si>
    <t>Plank</t>
  </si>
  <si>
    <t>DT Kekuatan Middle Statis</t>
  </si>
  <si>
    <t>Half Squat 1 min</t>
  </si>
  <si>
    <t>DT Kekuatan Lower</t>
  </si>
  <si>
    <t>Vertical Jump</t>
  </si>
  <si>
    <t>Power Tungkai</t>
  </si>
  <si>
    <t>(Watts)</t>
  </si>
  <si>
    <t>TMB</t>
  </si>
  <si>
    <t>Power Lengan</t>
  </si>
  <si>
    <t>Hurdle Jump</t>
  </si>
  <si>
    <t>Balke</t>
  </si>
  <si>
    <t>VO2 Max</t>
  </si>
  <si>
    <t>BMI INDEX</t>
  </si>
  <si>
    <t>READINESS</t>
  </si>
  <si>
    <t>L</t>
  </si>
  <si>
    <t>P</t>
  </si>
  <si>
    <t>Benchmark</t>
  </si>
  <si>
    <t>Readiness</t>
  </si>
  <si>
    <t>Sit Up</t>
  </si>
  <si>
    <t xml:space="preserve">DT Kekuatan Middle </t>
  </si>
  <si>
    <t>TAUFIK KRISNA</t>
  </si>
  <si>
    <t>JUANA WANGSA</t>
  </si>
  <si>
    <t>EMERALD MARGARETH</t>
  </si>
  <si>
    <t>Usia</t>
  </si>
  <si>
    <t>Kyorugi U54 Kg Pa</t>
  </si>
  <si>
    <t>Standing Stork Test Kanan</t>
  </si>
  <si>
    <t>Standing Stork Test Kiri</t>
  </si>
  <si>
    <t>Balance Kanan</t>
  </si>
  <si>
    <t>Balance Kiri</t>
  </si>
  <si>
    <t>Balance</t>
  </si>
  <si>
    <t>Sprint 10 M</t>
  </si>
  <si>
    <t>Reaction</t>
  </si>
  <si>
    <t>Lower Power Endurance</t>
  </si>
  <si>
    <t>MB Slam</t>
  </si>
  <si>
    <t>Upper Power Endurance</t>
  </si>
  <si>
    <t>300 M</t>
  </si>
  <si>
    <t>Kecepatan Rata-rata</t>
  </si>
  <si>
    <t>Aerobic</t>
  </si>
  <si>
    <t>Anaerobic Endurance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</si>
</sst>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0.0"/>
    <numFmt numFmtId="166" formatCode="[$-409]d\-mmm\-yyyy;@"/>
    <numFmt numFmtId="168" formatCode="[$-409]d\-mmm\-yy;@"/>
  </numFmts>
  <fonts count="17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Verdana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8"/>
      <color rgb="FF000000"/>
      <name val="Calibri"/>
      <family val="2"/>
    </font>
    <font>
      <sz val="14"/>
      <color rgb="FF000000"/>
      <name val="Calibri"/>
      <family val="2"/>
    </font>
    <font>
      <sz val="14"/>
      <color rgb="FF000000"/>
      <name val="Arial"/>
      <family val="2"/>
    </font>
    <font>
      <b/>
      <sz val="24"/>
      <color rgb="FF000000"/>
      <name val="Calibri"/>
      <family val="2"/>
    </font>
    <font>
      <sz val="10"/>
      <color rgb="FF000000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2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5DD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E59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>
      <protection locked="0"/>
    </xf>
    <xf numFmtId="0" fontId="2" fillId="0" borderId="0">
      <protection locked="0"/>
    </xf>
    <xf numFmtId="9" fontId="1" fillId="0" borderId="0">
      <alignment vertical="top"/>
      <protection locked="0"/>
    </xf>
    <xf numFmtId="0" fontId="5" fillId="0" borderId="0">
      <alignment vertical="center"/>
    </xf>
    <xf numFmtId="9" fontId="6" fillId="0" borderId="0">
      <alignment vertical="top"/>
      <protection locked="0"/>
    </xf>
    <xf numFmtId="0" fontId="1" fillId="0" borderId="0">
      <protection locked="0"/>
    </xf>
    <xf numFmtId="0" fontId="15" fillId="0" borderId="0"/>
  </cellStyleXfs>
  <cellXfs count="74">
    <xf numFmtId="0" fontId="0" fillId="0" borderId="0" xfId="0"/>
    <xf numFmtId="0" fontId="1" fillId="0" borderId="0" xfId="1" applyProtection="1"/>
    <xf numFmtId="0" fontId="1" fillId="0" borderId="0" xfId="1" applyAlignment="1" applyProtection="1">
      <alignment horizontal="center" vertical="center"/>
    </xf>
    <xf numFmtId="0" fontId="1" fillId="0" borderId="0" xfId="1" applyAlignment="1" applyProtection="1">
      <alignment horizontal="center"/>
    </xf>
    <xf numFmtId="0" fontId="1" fillId="0" borderId="0" xfId="1" applyAlignment="1" applyProtection="1">
      <alignment wrapText="1"/>
    </xf>
    <xf numFmtId="10" fontId="1" fillId="0" borderId="0" xfId="1" applyNumberFormat="1" applyProtection="1"/>
    <xf numFmtId="0" fontId="1" fillId="0" borderId="0" xfId="1" applyAlignment="1" applyProtection="1">
      <alignment vertical="center"/>
    </xf>
    <xf numFmtId="9" fontId="1" fillId="0" borderId="0" xfId="1" applyNumberFormat="1" applyProtection="1"/>
    <xf numFmtId="0" fontId="4" fillId="0" borderId="0" xfId="1" applyFont="1" applyAlignment="1" applyProtection="1">
      <alignment horizontal="center" vertical="center"/>
    </xf>
    <xf numFmtId="0" fontId="4" fillId="0" borderId="0" xfId="1" applyFont="1" applyAlignment="1" applyProtection="1">
      <alignment horizontal="center"/>
    </xf>
    <xf numFmtId="0" fontId="4" fillId="0" borderId="0" xfId="1" applyFont="1" applyProtection="1"/>
    <xf numFmtId="0" fontId="11" fillId="4" borderId="1" xfId="1" applyFont="1" applyFill="1" applyBorder="1" applyAlignment="1" applyProtection="1">
      <alignment horizontal="center" vertical="center" wrapText="1"/>
    </xf>
    <xf numFmtId="0" fontId="4" fillId="4" borderId="1" xfId="1" applyFont="1" applyFill="1" applyBorder="1" applyAlignment="1" applyProtection="1">
      <alignment horizontal="center" vertical="center" wrapText="1"/>
    </xf>
    <xf numFmtId="0" fontId="11" fillId="0" borderId="1" xfId="1" applyFont="1" applyBorder="1" applyAlignment="1" applyProtection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/>
    </xf>
    <xf numFmtId="10" fontId="4" fillId="0" borderId="0" xfId="1" applyNumberFormat="1" applyFont="1" applyProtection="1"/>
    <xf numFmtId="0" fontId="4" fillId="0" borderId="1" xfId="1" applyFont="1" applyBorder="1" applyProtection="1"/>
    <xf numFmtId="10" fontId="4" fillId="0" borderId="1" xfId="1" applyNumberFormat="1" applyFont="1" applyBorder="1" applyProtection="1"/>
    <xf numFmtId="0" fontId="11" fillId="6" borderId="1" xfId="1" applyFont="1" applyFill="1" applyBorder="1" applyAlignment="1" applyProtection="1">
      <alignment horizontal="center" vertical="center" wrapText="1"/>
    </xf>
    <xf numFmtId="0" fontId="4" fillId="6" borderId="1" xfId="1" applyFont="1" applyFill="1" applyBorder="1" applyAlignment="1" applyProtection="1">
      <alignment horizontal="center" vertical="center" wrapText="1"/>
    </xf>
    <xf numFmtId="0" fontId="11" fillId="7" borderId="1" xfId="1" applyFont="1" applyFill="1" applyBorder="1" applyAlignment="1" applyProtection="1">
      <alignment horizontal="center" vertical="center" wrapText="1"/>
    </xf>
    <xf numFmtId="0" fontId="4" fillId="7" borderId="1" xfId="1" applyFont="1" applyFill="1" applyBorder="1" applyAlignment="1" applyProtection="1">
      <alignment horizontal="center" vertical="center" wrapText="1"/>
    </xf>
    <xf numFmtId="0" fontId="11" fillId="2" borderId="1" xfId="1" applyFont="1" applyFill="1" applyBorder="1" applyAlignment="1" applyProtection="1">
      <alignment horizontal="center" vertical="center" wrapText="1"/>
    </xf>
    <xf numFmtId="0" fontId="4" fillId="2" borderId="1" xfId="1" applyFont="1" applyFill="1" applyBorder="1" applyAlignment="1" applyProtection="1">
      <alignment horizontal="center" vertical="center" wrapText="1"/>
    </xf>
    <xf numFmtId="0" fontId="11" fillId="8" borderId="1" xfId="1" applyFont="1" applyFill="1" applyBorder="1" applyAlignment="1" applyProtection="1">
      <alignment horizontal="center" vertical="center" wrapText="1"/>
    </xf>
    <xf numFmtId="0" fontId="11" fillId="9" borderId="1" xfId="1" applyFont="1" applyFill="1" applyBorder="1" applyAlignment="1" applyProtection="1">
      <alignment horizontal="center" vertical="center" wrapText="1"/>
    </xf>
    <xf numFmtId="0" fontId="4" fillId="9" borderId="1" xfId="1" applyFont="1" applyFill="1" applyBorder="1" applyAlignment="1" applyProtection="1">
      <alignment horizontal="center" vertical="center" wrapText="1"/>
    </xf>
    <xf numFmtId="0" fontId="4" fillId="8" borderId="1" xfId="1" applyFont="1" applyFill="1" applyBorder="1" applyAlignment="1" applyProtection="1">
      <alignment horizontal="center" vertical="center" wrapText="1"/>
    </xf>
    <xf numFmtId="0" fontId="4" fillId="10" borderId="0" xfId="1" applyFont="1" applyFill="1" applyAlignment="1" applyProtection="1">
      <alignment horizontal="center" vertical="center"/>
    </xf>
    <xf numFmtId="164" fontId="1" fillId="0" borderId="0" xfId="1" applyNumberFormat="1" applyProtection="1"/>
    <xf numFmtId="164" fontId="4" fillId="0" borderId="0" xfId="1" applyNumberFormat="1" applyFont="1" applyProtection="1"/>
    <xf numFmtId="164" fontId="9" fillId="0" borderId="1" xfId="3" applyNumberFormat="1" applyFont="1" applyBorder="1" applyAlignment="1" applyProtection="1">
      <alignment horizontal="center"/>
    </xf>
    <xf numFmtId="0" fontId="8" fillId="0" borderId="1" xfId="1" applyFont="1" applyBorder="1" applyAlignment="1" applyProtection="1">
      <alignment horizontal="left" vertical="center"/>
    </xf>
    <xf numFmtId="0" fontId="8" fillId="0" borderId="1" xfId="1" applyFont="1" applyBorder="1" applyAlignment="1" applyProtection="1">
      <alignment horizontal="left"/>
    </xf>
    <xf numFmtId="0" fontId="7" fillId="5" borderId="1" xfId="1" applyFont="1" applyFill="1" applyBorder="1" applyProtection="1"/>
    <xf numFmtId="164" fontId="16" fillId="0" borderId="1" xfId="3" applyNumberFormat="1" applyFont="1" applyBorder="1" applyAlignment="1" applyProtection="1"/>
    <xf numFmtId="0" fontId="10" fillId="0" borderId="1" xfId="1" applyFont="1" applyBorder="1" applyAlignment="1" applyProtection="1">
      <alignment horizontal="left" vertical="center"/>
    </xf>
    <xf numFmtId="1" fontId="9" fillId="0" borderId="1" xfId="3" applyNumberFormat="1" applyFont="1" applyBorder="1" applyAlignment="1" applyProtection="1">
      <alignment horizontal="center"/>
    </xf>
    <xf numFmtId="0" fontId="12" fillId="11" borderId="1" xfId="0" applyFont="1" applyFill="1" applyBorder="1" applyAlignment="1">
      <alignment horizontal="left" vertical="center"/>
    </xf>
    <xf numFmtId="0" fontId="4" fillId="11" borderId="1" xfId="1" applyFont="1" applyFill="1" applyBorder="1" applyAlignment="1" applyProtection="1">
      <alignment horizontal="center" vertical="center"/>
    </xf>
    <xf numFmtId="166" fontId="4" fillId="11" borderId="1" xfId="1" applyNumberFormat="1" applyFont="1" applyFill="1" applyBorder="1" applyAlignment="1" applyProtection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3" fillId="11" borderId="1" xfId="2" applyFont="1" applyFill="1" applyBorder="1" applyAlignment="1" applyProtection="1">
      <alignment horizontal="center" vertical="center" wrapText="1"/>
    </xf>
    <xf numFmtId="165" fontId="4" fillId="11" borderId="1" xfId="1" applyNumberFormat="1" applyFont="1" applyFill="1" applyBorder="1" applyAlignment="1" applyProtection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3" fillId="11" borderId="1" xfId="2" quotePrefix="1" applyFont="1" applyFill="1" applyBorder="1" applyAlignment="1" applyProtection="1">
      <alignment horizontal="center" vertical="center"/>
    </xf>
    <xf numFmtId="164" fontId="3" fillId="11" borderId="1" xfId="2" applyNumberFormat="1" applyFont="1" applyFill="1" applyBorder="1" applyAlignment="1" applyProtection="1">
      <alignment horizontal="center" vertical="center"/>
    </xf>
    <xf numFmtId="0" fontId="4" fillId="11" borderId="1" xfId="3" applyNumberFormat="1" applyFont="1" applyFill="1" applyBorder="1" applyAlignment="1" applyProtection="1">
      <alignment horizontal="center" vertical="center"/>
    </xf>
    <xf numFmtId="0" fontId="4" fillId="11" borderId="1" xfId="1" applyFont="1" applyFill="1" applyBorder="1" applyAlignment="1" applyProtection="1">
      <alignment horizontal="center"/>
    </xf>
    <xf numFmtId="1" fontId="4" fillId="11" borderId="1" xfId="1" applyNumberFormat="1" applyFont="1" applyFill="1" applyBorder="1" applyAlignment="1" applyProtection="1">
      <alignment horizontal="center"/>
    </xf>
    <xf numFmtId="10" fontId="3" fillId="11" borderId="1" xfId="2" applyNumberFormat="1" applyFont="1" applyFill="1" applyBorder="1" applyAlignment="1" applyProtection="1">
      <alignment horizontal="center" vertical="center"/>
    </xf>
    <xf numFmtId="2" fontId="3" fillId="11" borderId="1" xfId="2" applyNumberFormat="1" applyFont="1" applyFill="1" applyBorder="1" applyAlignment="1" applyProtection="1">
      <alignment horizontal="center" vertical="center"/>
    </xf>
    <xf numFmtId="9" fontId="3" fillId="11" borderId="1" xfId="2" applyNumberFormat="1" applyFont="1" applyFill="1" applyBorder="1" applyAlignment="1" applyProtection="1">
      <alignment horizontal="center" vertical="center"/>
    </xf>
    <xf numFmtId="0" fontId="3" fillId="11" borderId="1" xfId="2" applyFont="1" applyFill="1" applyBorder="1" applyAlignment="1" applyProtection="1">
      <alignment horizontal="center" vertical="center"/>
    </xf>
    <xf numFmtId="1" fontId="3" fillId="11" borderId="1" xfId="2" applyNumberFormat="1" applyFont="1" applyFill="1" applyBorder="1" applyAlignment="1" applyProtection="1">
      <alignment horizontal="center" vertical="center"/>
    </xf>
    <xf numFmtId="2" fontId="4" fillId="11" borderId="1" xfId="3" applyNumberFormat="1" applyFont="1" applyFill="1" applyBorder="1" applyAlignment="1" applyProtection="1">
      <alignment horizontal="center" vertical="center"/>
    </xf>
    <xf numFmtId="9" fontId="4" fillId="11" borderId="1" xfId="1" applyNumberFormat="1" applyFont="1" applyFill="1" applyBorder="1" applyAlignment="1" applyProtection="1">
      <alignment horizontal="center" vertical="center"/>
    </xf>
    <xf numFmtId="168" fontId="4" fillId="11" borderId="1" xfId="1" applyNumberFormat="1" applyFont="1" applyFill="1" applyBorder="1" applyAlignment="1" applyProtection="1">
      <alignment horizontal="center" vertical="center"/>
    </xf>
    <xf numFmtId="0" fontId="4" fillId="3" borderId="1" xfId="1" applyFont="1" applyFill="1" applyBorder="1" applyAlignment="1" applyProtection="1">
      <alignment horizontal="center" vertical="center"/>
    </xf>
    <xf numFmtId="168" fontId="4" fillId="3" borderId="1" xfId="1" applyNumberFormat="1" applyFont="1" applyFill="1" applyBorder="1" applyAlignment="1" applyProtection="1">
      <alignment horizontal="center" vertical="center"/>
    </xf>
    <xf numFmtId="0" fontId="3" fillId="3" borderId="1" xfId="2" applyFont="1" applyFill="1" applyBorder="1" applyAlignment="1" applyProtection="1">
      <alignment horizontal="center" vertical="center" wrapText="1"/>
    </xf>
    <xf numFmtId="165" fontId="4" fillId="3" borderId="1" xfId="1" applyNumberFormat="1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3" fillId="3" borderId="1" xfId="1" quotePrefix="1" applyFont="1" applyFill="1" applyBorder="1" applyAlignment="1" applyProtection="1">
      <alignment horizontal="center" vertical="center"/>
    </xf>
    <xf numFmtId="164" fontId="3" fillId="3" borderId="1" xfId="2" applyNumberFormat="1" applyFont="1" applyFill="1" applyBorder="1" applyAlignment="1" applyProtection="1">
      <alignment horizontal="center" vertical="center"/>
    </xf>
    <xf numFmtId="0" fontId="4" fillId="3" borderId="1" xfId="3" applyNumberFormat="1" applyFont="1" applyFill="1" applyBorder="1" applyAlignment="1" applyProtection="1">
      <alignment horizontal="center" vertical="center"/>
    </xf>
    <xf numFmtId="0" fontId="4" fillId="3" borderId="1" xfId="1" applyFont="1" applyFill="1" applyBorder="1" applyAlignment="1" applyProtection="1">
      <alignment horizontal="center"/>
    </xf>
    <xf numFmtId="10" fontId="3" fillId="3" borderId="1" xfId="2" applyNumberFormat="1" applyFont="1" applyFill="1" applyBorder="1" applyAlignment="1" applyProtection="1">
      <alignment horizontal="center" vertical="center"/>
    </xf>
    <xf numFmtId="9" fontId="3" fillId="3" borderId="1" xfId="2" applyNumberFormat="1" applyFont="1" applyFill="1" applyBorder="1" applyAlignment="1" applyProtection="1">
      <alignment horizontal="center" vertical="center"/>
    </xf>
    <xf numFmtId="1" fontId="3" fillId="3" borderId="1" xfId="5" applyNumberFormat="1" applyFont="1" applyFill="1" applyBorder="1" applyAlignment="1" applyProtection="1">
      <alignment horizontal="center" vertical="center"/>
    </xf>
    <xf numFmtId="1" fontId="3" fillId="3" borderId="1" xfId="2" applyNumberFormat="1" applyFont="1" applyFill="1" applyBorder="1" applyAlignment="1" applyProtection="1">
      <alignment horizontal="center" vertical="center"/>
    </xf>
    <xf numFmtId="2" fontId="4" fillId="3" borderId="1" xfId="3" applyNumberFormat="1" applyFont="1" applyFill="1" applyBorder="1" applyAlignment="1" applyProtection="1">
      <alignment horizontal="center" vertical="center"/>
    </xf>
    <xf numFmtId="9" fontId="4" fillId="3" borderId="1" xfId="1" applyNumberFormat="1" applyFont="1" applyFill="1" applyBorder="1" applyAlignment="1" applyProtection="1">
      <alignment horizontal="center" vertical="center"/>
    </xf>
  </cellXfs>
  <cellStyles count="8">
    <cellStyle name="Normal" xfId="0" builtinId="0"/>
    <cellStyle name="Normal 2" xfId="1" xr:uid="{76961568-4DE3-0041-95A6-217B6408B9A0}"/>
    <cellStyle name="Normal 2 2" xfId="6" xr:uid="{A0314E39-8ED4-6249-8C6B-0D8C13C9BF60}"/>
    <cellStyle name="Normal 2 3" xfId="2" xr:uid="{432E031A-B5B8-B94F-B7AC-6FCF58435C59}"/>
    <cellStyle name="Normal 3" xfId="4" xr:uid="{723BC379-81E7-9D4D-B79B-2B3459A601FD}"/>
    <cellStyle name="Normal 4" xfId="7" xr:uid="{55DA0074-1C80-9C48-A445-FDEC3B4385F1}"/>
    <cellStyle name="Percent 2" xfId="3" xr:uid="{7E5E7847-C486-7746-A481-3E700545F0D8}"/>
    <cellStyle name="Percent 3" xfId="5" xr:uid="{92303DA1-0028-9A46-91D2-2F98E6CBC62E}"/>
  </cellStyles>
  <dxfs count="0"/>
  <tableStyles count="0" defaultTableStyle="TableStyleMedium2" defaultPivotStyle="PivotStyleLight16"/>
  <colors>
    <mruColors>
      <color rgb="FFF5DDFF"/>
      <color rgb="FFFF98FC"/>
      <color rgb="FFE495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bg2">
                <a:lumMod val="50000"/>
              </a:schemeClr>
            </a:solidFill>
            <a:ln>
              <a:noFill/>
            </a:ln>
            <a:effectLst>
              <a:glow rad="310663">
                <a:schemeClr val="accent1">
                  <a:alpha val="29000"/>
                </a:schemeClr>
              </a:glow>
              <a:outerShdw blurRad="483592" dist="602923" dir="5400000" sx="67000" sy="67000" algn="ctr" rotWithShape="0">
                <a:schemeClr val="bg1">
                  <a:lumMod val="85000"/>
                </a:schemeClr>
              </a:outerShdw>
              <a:softEdge rad="0"/>
            </a:effectLst>
          </c:spPr>
          <c:invertIfNegative val="0"/>
          <c:cat>
            <c:strRef>
              <c:f>'Profil Kondisi Fisik'!$B$28:$B$42</c:f>
              <c:strCache>
                <c:ptCount val="15"/>
                <c:pt idx="0">
                  <c:v>Fleksibilitas</c:v>
                </c:pt>
                <c:pt idx="1">
                  <c:v>Balance</c:v>
                </c:pt>
                <c:pt idx="2">
                  <c:v>Kecepatan</c:v>
                </c:pt>
                <c:pt idx="3">
                  <c:v>Agility</c:v>
                </c:pt>
                <c:pt idx="4">
                  <c:v>Reaction</c:v>
                </c:pt>
                <c:pt idx="5">
                  <c:v>Power Lengan</c:v>
                </c:pt>
                <c:pt idx="6">
                  <c:v>Power Tungkai</c:v>
                </c:pt>
                <c:pt idx="7">
                  <c:v>DT Kekuatan Upper</c:v>
                </c:pt>
                <c:pt idx="8">
                  <c:v>DT Kekuatan Middle </c:v>
                </c:pt>
                <c:pt idx="9">
                  <c:v>DT Kekuatan Lower</c:v>
                </c:pt>
                <c:pt idx="10">
                  <c:v>DT Kekuatan Middle Statis</c:v>
                </c:pt>
                <c:pt idx="11">
                  <c:v>Upper Power Endurance</c:v>
                </c:pt>
                <c:pt idx="12">
                  <c:v>Lower Power Endurance</c:v>
                </c:pt>
                <c:pt idx="13">
                  <c:v>Anaerobic Endurance</c:v>
                </c:pt>
                <c:pt idx="14">
                  <c:v>Aerobic</c:v>
                </c:pt>
              </c:strCache>
            </c:strRef>
          </c:cat>
          <c:val>
            <c:numRef>
              <c:f>'Profil Kondisi Fisik'!$C$28:$C$42</c:f>
              <c:numCache>
                <c:formatCode>0.0%</c:formatCode>
                <c:ptCount val="15"/>
                <c:pt idx="0">
                  <c:v>0.96296296296296291</c:v>
                </c:pt>
                <c:pt idx="1">
                  <c:v>0.73</c:v>
                </c:pt>
                <c:pt idx="2">
                  <c:v>0.96969696969696983</c:v>
                </c:pt>
                <c:pt idx="3">
                  <c:v>0.99065420560747663</c:v>
                </c:pt>
                <c:pt idx="4">
                  <c:v>0.86956521739130432</c:v>
                </c:pt>
                <c:pt idx="5">
                  <c:v>0.87971494736842104</c:v>
                </c:pt>
                <c:pt idx="6">
                  <c:v>0.96065999999999985</c:v>
                </c:pt>
                <c:pt idx="7">
                  <c:v>1.0185185185185186</c:v>
                </c:pt>
                <c:pt idx="8">
                  <c:v>1</c:v>
                </c:pt>
                <c:pt idx="9">
                  <c:v>0.97333333333333338</c:v>
                </c:pt>
                <c:pt idx="10">
                  <c:v>0.97222222222222221</c:v>
                </c:pt>
                <c:pt idx="11">
                  <c:v>0.8928571428571429</c:v>
                </c:pt>
                <c:pt idx="12">
                  <c:v>0.95833333333333337</c:v>
                </c:pt>
                <c:pt idx="13">
                  <c:v>0.96</c:v>
                </c:pt>
                <c:pt idx="14">
                  <c:v>0.81498181818181814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54-684C-96AF-808F6DF135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6"/>
        <c:overlap val="53"/>
        <c:axId val="1818304143"/>
        <c:axId val="1844870063"/>
      </c:barChart>
      <c:catAx>
        <c:axId val="18183041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4870063"/>
        <c:crosses val="autoZero"/>
        <c:auto val="1"/>
        <c:lblAlgn val="ctr"/>
        <c:lblOffset val="100"/>
        <c:noMultiLvlLbl val="0"/>
      </c:catAx>
      <c:valAx>
        <c:axId val="1844870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8304143"/>
        <c:crosses val="autoZero"/>
        <c:crossBetween val="between"/>
      </c:valAx>
      <c:spPr>
        <a:noFill/>
        <a:ln>
          <a:noFill/>
        </a:ln>
        <a:effectLst>
          <a:outerShdw blurRad="50800" dist="50800" dir="5400000" sx="10000" sy="10000" algn="ctr" rotWithShape="0">
            <a:srgbClr val="000000">
              <a:alpha val="43137"/>
            </a:srgbClr>
          </a:outerShdw>
        </a:effectLst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42333</xdr:colOff>
      <xdr:row>26</xdr:row>
      <xdr:rowOff>13435</xdr:rowOff>
    </xdr:from>
    <xdr:to>
      <xdr:col>18</xdr:col>
      <xdr:colOff>607390</xdr:colOff>
      <xdr:row>43</xdr:row>
      <xdr:rowOff>9201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95F7E6C-A2E1-AE2C-5AFE-53F28E65F0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F7768-95A9-3C48-803E-7A11658993BE}">
  <dimension ref="A1:AW48"/>
  <sheetViews>
    <sheetView showGridLines="0" tabSelected="1" topLeftCell="A2" zoomScaleNormal="120" workbookViewId="0">
      <selection activeCell="AU28" sqref="AU28"/>
    </sheetView>
  </sheetViews>
  <sheetFormatPr baseColWidth="10" defaultColWidth="9" defaultRowHeight="15" x14ac:dyDescent="0.2"/>
  <cols>
    <col min="1" max="1" width="3.33203125" style="1" customWidth="1"/>
    <col min="2" max="2" width="26.6640625" style="1" customWidth="1"/>
    <col min="3" max="3" width="10.83203125" style="1" customWidth="1"/>
    <col min="4" max="4" width="9.6640625" style="1" customWidth="1"/>
    <col min="5" max="5" width="20.33203125" style="1" customWidth="1"/>
    <col min="6" max="6" width="5.5" style="1" customWidth="1"/>
    <col min="7" max="7" width="5.83203125" style="1" customWidth="1"/>
    <col min="8" max="8" width="5.5" style="1" customWidth="1"/>
    <col min="9" max="9" width="7.83203125" style="1" customWidth="1"/>
    <col min="10" max="10" width="14.33203125" style="1" customWidth="1"/>
    <col min="11" max="11" width="15.5" style="1" customWidth="1"/>
    <col min="12" max="12" width="7.83203125" style="1" customWidth="1"/>
    <col min="13" max="13" width="11.33203125" style="1" customWidth="1"/>
    <col min="14" max="14" width="7.83203125" style="1" customWidth="1"/>
    <col min="15" max="15" width="6.5" style="1" customWidth="1"/>
    <col min="16" max="16" width="7.83203125" style="1" customWidth="1"/>
    <col min="17" max="18" width="6.33203125" style="1" customWidth="1"/>
    <col min="19" max="20" width="11.33203125" style="1" customWidth="1"/>
    <col min="21" max="22" width="14.1640625" style="1" customWidth="1"/>
    <col min="23" max="24" width="13.5" style="1" customWidth="1"/>
    <col min="25" max="27" width="8.6640625" style="3" customWidth="1"/>
    <col min="28" max="28" width="9.5" style="1" customWidth="1"/>
    <col min="29" max="29" width="9.6640625" style="1" customWidth="1"/>
    <col min="30" max="30" width="8" style="1" customWidth="1"/>
    <col min="31" max="31" width="7.5" style="1" customWidth="1"/>
    <col min="32" max="32" width="9.83203125" style="5" customWidth="1"/>
    <col min="33" max="33" width="6.83203125" style="1" customWidth="1"/>
    <col min="34" max="34" width="9.6640625" style="1" customWidth="1"/>
    <col min="35" max="35" width="9.83203125" style="1" customWidth="1"/>
    <col min="36" max="36" width="10" style="1" customWidth="1"/>
    <col min="37" max="37" width="7.83203125" style="1" customWidth="1"/>
    <col min="38" max="38" width="13.1640625" style="1" customWidth="1"/>
    <col min="39" max="44" width="9" style="3"/>
    <col min="45" max="45" width="8.5" style="1" customWidth="1"/>
    <col min="46" max="47" width="10" style="1" customWidth="1"/>
    <col min="48" max="48" width="8.5" style="1" customWidth="1"/>
    <col min="49" max="49" width="12" style="1" customWidth="1"/>
    <col min="50" max="16384" width="9" style="1"/>
  </cols>
  <sheetData>
    <row r="1" spans="1:49" x14ac:dyDescent="0.2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29">
        <v>5</v>
      </c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</row>
    <row r="2" spans="1:49" s="4" customFormat="1" ht="56" x14ac:dyDescent="0.2">
      <c r="A2" s="11" t="s">
        <v>3</v>
      </c>
      <c r="B2" s="11" t="s">
        <v>4</v>
      </c>
      <c r="C2" s="11" t="s">
        <v>5</v>
      </c>
      <c r="D2" s="11" t="s">
        <v>6</v>
      </c>
      <c r="E2" s="11" t="s">
        <v>41</v>
      </c>
      <c r="F2" s="11" t="s">
        <v>7</v>
      </c>
      <c r="G2" s="11" t="s">
        <v>8</v>
      </c>
      <c r="H2" s="11" t="s">
        <v>9</v>
      </c>
      <c r="I2" s="12" t="s">
        <v>2</v>
      </c>
      <c r="J2" s="12" t="s">
        <v>30</v>
      </c>
      <c r="K2" s="11" t="s">
        <v>10</v>
      </c>
      <c r="L2" s="19" t="s">
        <v>11</v>
      </c>
      <c r="M2" s="20" t="s">
        <v>12</v>
      </c>
      <c r="N2" s="19" t="s">
        <v>43</v>
      </c>
      <c r="O2" s="20" t="s">
        <v>45</v>
      </c>
      <c r="P2" s="19" t="s">
        <v>44</v>
      </c>
      <c r="Q2" s="20" t="s">
        <v>46</v>
      </c>
      <c r="R2" s="20" t="s">
        <v>47</v>
      </c>
      <c r="S2" s="21" t="s">
        <v>48</v>
      </c>
      <c r="T2" s="22" t="s">
        <v>13</v>
      </c>
      <c r="U2" s="23" t="s">
        <v>14</v>
      </c>
      <c r="V2" s="24" t="s">
        <v>1</v>
      </c>
      <c r="W2" s="25" t="s">
        <v>15</v>
      </c>
      <c r="X2" s="25" t="s">
        <v>49</v>
      </c>
      <c r="Y2" s="20" t="s">
        <v>25</v>
      </c>
      <c r="Z2" s="21" t="s">
        <v>24</v>
      </c>
      <c r="AA2" s="20" t="s">
        <v>26</v>
      </c>
      <c r="AB2" s="21" t="s">
        <v>22</v>
      </c>
      <c r="AC2" s="21" t="s">
        <v>24</v>
      </c>
      <c r="AD2" s="21" t="s">
        <v>23</v>
      </c>
      <c r="AE2" s="26" t="s">
        <v>16</v>
      </c>
      <c r="AF2" s="27" t="s">
        <v>17</v>
      </c>
      <c r="AG2" s="25" t="s">
        <v>36</v>
      </c>
      <c r="AH2" s="28" t="s">
        <v>37</v>
      </c>
      <c r="AI2" s="23" t="s">
        <v>20</v>
      </c>
      <c r="AJ2" s="24" t="s">
        <v>21</v>
      </c>
      <c r="AK2" s="25" t="s">
        <v>18</v>
      </c>
      <c r="AL2" s="28" t="s">
        <v>19</v>
      </c>
      <c r="AM2" s="22" t="s">
        <v>51</v>
      </c>
      <c r="AN2" s="22" t="s">
        <v>52</v>
      </c>
      <c r="AO2" s="22" t="s">
        <v>27</v>
      </c>
      <c r="AP2" s="22" t="s">
        <v>50</v>
      </c>
      <c r="AQ2" s="22" t="s">
        <v>53</v>
      </c>
      <c r="AR2" s="22" t="s">
        <v>56</v>
      </c>
      <c r="AS2" s="11" t="s">
        <v>28</v>
      </c>
      <c r="AT2" s="11" t="s">
        <v>29</v>
      </c>
      <c r="AU2" s="11" t="s">
        <v>55</v>
      </c>
      <c r="AV2" s="11" t="s">
        <v>54</v>
      </c>
      <c r="AW2" s="12" t="s">
        <v>31</v>
      </c>
    </row>
    <row r="3" spans="1:49" x14ac:dyDescent="0.2">
      <c r="A3" s="13">
        <v>1</v>
      </c>
      <c r="B3" s="39" t="s">
        <v>0</v>
      </c>
      <c r="C3" s="40" t="s">
        <v>32</v>
      </c>
      <c r="D3" s="41">
        <v>32073</v>
      </c>
      <c r="E3" s="40" t="str">
        <f ca="1">DATEDIF(D3,TODAY(),"Y")&amp;" Tahun "&amp;DATEDIF(D3,TODAY(),"YM")&amp;" Bulan "&amp;DATEDIF(D3,TODAY(),"MD")&amp;" Hari"</f>
        <v>38 Tahun 11 Bulan 18 Hari</v>
      </c>
      <c r="F3" s="42">
        <v>71</v>
      </c>
      <c r="G3" s="42">
        <v>172</v>
      </c>
      <c r="H3" s="43">
        <f>G3/100</f>
        <v>1.72</v>
      </c>
      <c r="I3" s="44">
        <f t="shared" ref="I3:I22" si="0">F3/(H3*H3)</f>
        <v>23.999459167117362</v>
      </c>
      <c r="J3" s="40" t="str">
        <f>IF(I3&gt;23,"OVER WEIGHT",IF(I3&gt;18.5,"NORMAL",IF(I3&lt;18.4,"KURANG",IF(I3&gt;30,"OBESITAS"))))</f>
        <v>OVER WEIGHT</v>
      </c>
      <c r="K3" s="45" t="s">
        <v>42</v>
      </c>
      <c r="L3" s="46">
        <v>26</v>
      </c>
      <c r="M3" s="47">
        <f t="shared" ref="M3:M12" si="1">L3/$L$24</f>
        <v>0.96296296296296291</v>
      </c>
      <c r="N3" s="46">
        <v>26</v>
      </c>
      <c r="O3" s="47">
        <f>N3/$N$24</f>
        <v>0.52</v>
      </c>
      <c r="P3" s="46">
        <v>47</v>
      </c>
      <c r="Q3" s="47">
        <f>P3/$P$24</f>
        <v>0.94</v>
      </c>
      <c r="R3" s="47">
        <f>AVERAGE(Q3,O3)</f>
        <v>0.73</v>
      </c>
      <c r="S3" s="42">
        <v>1.65</v>
      </c>
      <c r="T3" s="47">
        <f t="shared" ref="T3:T12" si="2">$S$24/S3</f>
        <v>0.96969696969696983</v>
      </c>
      <c r="U3" s="42">
        <v>5.35</v>
      </c>
      <c r="V3" s="47">
        <f>$U$24/U3</f>
        <v>0.99065420560747663</v>
      </c>
      <c r="W3" s="48">
        <v>230</v>
      </c>
      <c r="X3" s="47">
        <f>$W$24/W3</f>
        <v>0.86956521739130432</v>
      </c>
      <c r="Y3" s="49">
        <v>7.8</v>
      </c>
      <c r="Z3" s="50">
        <f>(96.719*Y3)+(37.164*$Y$1)-104.499</f>
        <v>835.72919999999999</v>
      </c>
      <c r="AA3" s="51">
        <f>Z3/$Z$24</f>
        <v>0.87971494736842104</v>
      </c>
      <c r="AB3" s="48">
        <v>60</v>
      </c>
      <c r="AC3" s="52">
        <f t="shared" ref="AC3:AC22" si="3">(60.7*AB3)+(45.3*F3)-2055</f>
        <v>4803.2999999999993</v>
      </c>
      <c r="AD3" s="53">
        <f t="shared" ref="AD3:AD12" si="4">AC3/$AC$24</f>
        <v>0.96065999999999985</v>
      </c>
      <c r="AE3" s="54">
        <v>55</v>
      </c>
      <c r="AF3" s="53">
        <f t="shared" ref="AF3:AF12" si="5">AE3/$AE$24</f>
        <v>1.0185185185185186</v>
      </c>
      <c r="AG3" s="55">
        <v>60</v>
      </c>
      <c r="AH3" s="53">
        <f>AG3/$AG$24</f>
        <v>1</v>
      </c>
      <c r="AI3" s="48">
        <v>73</v>
      </c>
      <c r="AJ3" s="53">
        <f t="shared" ref="AJ3:AJ12" si="6">AI3/$AI$24</f>
        <v>0.97333333333333338</v>
      </c>
      <c r="AK3" s="55">
        <v>350</v>
      </c>
      <c r="AL3" s="53">
        <f t="shared" ref="AL3:AL12" si="7">AK3/$AK$24</f>
        <v>0.97222222222222221</v>
      </c>
      <c r="AM3" s="49">
        <v>25</v>
      </c>
      <c r="AN3" s="51">
        <f>AM3/$AM$24</f>
        <v>0.8928571428571429</v>
      </c>
      <c r="AO3" s="49">
        <v>115</v>
      </c>
      <c r="AP3" s="51">
        <f t="shared" ref="AP3:AP12" si="8">AO3/$AO$24</f>
        <v>0.95833333333333337</v>
      </c>
      <c r="AQ3" s="49">
        <v>50</v>
      </c>
      <c r="AR3" s="51">
        <f>$AQ$24/AQ3</f>
        <v>0.96</v>
      </c>
      <c r="AS3" s="48">
        <v>3000</v>
      </c>
      <c r="AT3" s="56">
        <f t="shared" ref="AT3:AT22" si="9">(((AS3/15)-133)*0.172)+33.3</f>
        <v>44.823999999999998</v>
      </c>
      <c r="AU3" s="53">
        <f t="shared" ref="AU3:AU12" si="10">AT3/$AT$24</f>
        <v>0.81498181818181814</v>
      </c>
      <c r="AV3" s="56">
        <f>AS3/900</f>
        <v>3.3333333333333335</v>
      </c>
      <c r="AW3" s="57">
        <f>AVERAGE(M3,R3,T3,V3,X3,AA3,AD3,AF3,AH3,AJ3,AL3,AN3,AP3,AR3,AU3)</f>
        <v>0.93023337809823337</v>
      </c>
    </row>
    <row r="4" spans="1:49" x14ac:dyDescent="0.2">
      <c r="A4" s="13">
        <v>2</v>
      </c>
      <c r="B4" s="39" t="s">
        <v>38</v>
      </c>
      <c r="C4" s="40" t="s">
        <v>32</v>
      </c>
      <c r="D4" s="58"/>
      <c r="E4" s="40" t="str">
        <f t="shared" ref="E4:E22" ca="1" si="11">DATEDIF(D4,TODAY(),"Y")&amp;" Tahun "&amp;DATEDIF(D4,TODAY(),"YM")&amp;" Bulan "&amp;DATEDIF(D4,TODAY(),"MD")&amp;" Hari"</f>
        <v>126 Tahun 9 Bulan 11 Hari</v>
      </c>
      <c r="F4" s="42"/>
      <c r="G4" s="42"/>
      <c r="H4" s="43">
        <f t="shared" ref="H4:H22" si="12">G4/100</f>
        <v>0</v>
      </c>
      <c r="I4" s="44" t="e">
        <f t="shared" si="0"/>
        <v>#DIV/0!</v>
      </c>
      <c r="J4" s="40" t="e">
        <f t="shared" ref="J4:J22" si="13">IF(I4&gt;23,"OVER WEIGHT",IF(I4&gt;18.5,"NORMAL",IF(I4&lt;18.4,"KURANG",IF(I4&gt;30,"OBESITAS"))))</f>
        <v>#DIV/0!</v>
      </c>
      <c r="K4" s="45"/>
      <c r="L4" s="46"/>
      <c r="M4" s="47">
        <f t="shared" si="1"/>
        <v>0</v>
      </c>
      <c r="N4" s="46"/>
      <c r="O4" s="47">
        <f t="shared" ref="O4:O12" si="14">N4/$N$24</f>
        <v>0</v>
      </c>
      <c r="P4" s="46"/>
      <c r="Q4" s="47">
        <f t="shared" ref="Q4:Q12" si="15">P4/$P$24</f>
        <v>0</v>
      </c>
      <c r="R4" s="47">
        <f t="shared" ref="R4:R22" si="16">AVERAGE(Q4,O4)</f>
        <v>0</v>
      </c>
      <c r="S4" s="42"/>
      <c r="T4" s="47" t="e">
        <f t="shared" si="2"/>
        <v>#DIV/0!</v>
      </c>
      <c r="U4" s="42"/>
      <c r="V4" s="47" t="e">
        <f t="shared" ref="V4:V12" si="17">$U$24/U4</f>
        <v>#DIV/0!</v>
      </c>
      <c r="W4" s="48"/>
      <c r="X4" s="47" t="e">
        <f t="shared" ref="X4:X12" si="18">$W$24/W4</f>
        <v>#DIV/0!</v>
      </c>
      <c r="Y4" s="49"/>
      <c r="Z4" s="50">
        <f t="shared" ref="Z4:Z22" si="19">(96.719*Y4)+(37.164*$Y$1)-104.499</f>
        <v>81.320999999999998</v>
      </c>
      <c r="AA4" s="51">
        <f t="shared" ref="AA4:AA12" si="20">Z4/$Z$24</f>
        <v>8.5601052631578939E-2</v>
      </c>
      <c r="AB4" s="48"/>
      <c r="AC4" s="52">
        <f t="shared" si="3"/>
        <v>-2055</v>
      </c>
      <c r="AD4" s="53">
        <f t="shared" si="4"/>
        <v>-0.41099999999999998</v>
      </c>
      <c r="AE4" s="54"/>
      <c r="AF4" s="53">
        <f t="shared" si="5"/>
        <v>0</v>
      </c>
      <c r="AG4" s="55"/>
      <c r="AH4" s="53">
        <f t="shared" ref="AH4:AH12" si="21">AG4/$AG$24</f>
        <v>0</v>
      </c>
      <c r="AI4" s="48"/>
      <c r="AJ4" s="53">
        <f t="shared" si="6"/>
        <v>0</v>
      </c>
      <c r="AK4" s="55"/>
      <c r="AL4" s="53">
        <f t="shared" si="7"/>
        <v>0</v>
      </c>
      <c r="AM4" s="49"/>
      <c r="AN4" s="51">
        <f t="shared" ref="AN4:AN12" si="22">AM4/$AM$24</f>
        <v>0</v>
      </c>
      <c r="AO4" s="49"/>
      <c r="AP4" s="51">
        <f t="shared" si="8"/>
        <v>0</v>
      </c>
      <c r="AQ4" s="49"/>
      <c r="AR4" s="51" t="e">
        <f t="shared" ref="AR4:AR12" si="23">$AQ$24/AQ4</f>
        <v>#DIV/0!</v>
      </c>
      <c r="AS4" s="48"/>
      <c r="AT4" s="56">
        <f t="shared" si="9"/>
        <v>10.423999999999999</v>
      </c>
      <c r="AU4" s="53">
        <f t="shared" si="10"/>
        <v>0.18952727272727271</v>
      </c>
      <c r="AV4" s="56">
        <f t="shared" ref="AV4:AV22" si="24">AS4/900</f>
        <v>0</v>
      </c>
      <c r="AW4" s="57" t="e">
        <f t="shared" ref="AW4:AW22" si="25">AVERAGE(M4,R4,T4,V4,X4,AA4,AD4,AF4,AH4,AJ4,AL4,AN4,AP4,AR4,AU4)</f>
        <v>#DIV/0!</v>
      </c>
    </row>
    <row r="5" spans="1:49" x14ac:dyDescent="0.2">
      <c r="A5" s="13">
        <v>3</v>
      </c>
      <c r="B5" s="39"/>
      <c r="C5" s="40" t="s">
        <v>32</v>
      </c>
      <c r="D5" s="58"/>
      <c r="E5" s="40" t="str">
        <f t="shared" ca="1" si="11"/>
        <v>126 Tahun 9 Bulan 11 Hari</v>
      </c>
      <c r="F5" s="42"/>
      <c r="G5" s="42"/>
      <c r="H5" s="43">
        <f t="shared" si="12"/>
        <v>0</v>
      </c>
      <c r="I5" s="44" t="e">
        <f t="shared" si="0"/>
        <v>#DIV/0!</v>
      </c>
      <c r="J5" s="40" t="e">
        <f t="shared" si="13"/>
        <v>#DIV/0!</v>
      </c>
      <c r="K5" s="45"/>
      <c r="L5" s="46"/>
      <c r="M5" s="47">
        <f t="shared" si="1"/>
        <v>0</v>
      </c>
      <c r="N5" s="46"/>
      <c r="O5" s="47">
        <f t="shared" si="14"/>
        <v>0</v>
      </c>
      <c r="P5" s="46"/>
      <c r="Q5" s="47">
        <f t="shared" si="15"/>
        <v>0</v>
      </c>
      <c r="R5" s="47">
        <f t="shared" si="16"/>
        <v>0</v>
      </c>
      <c r="S5" s="42"/>
      <c r="T5" s="47" t="e">
        <f t="shared" si="2"/>
        <v>#DIV/0!</v>
      </c>
      <c r="U5" s="42"/>
      <c r="V5" s="47" t="e">
        <f t="shared" si="17"/>
        <v>#DIV/0!</v>
      </c>
      <c r="W5" s="48"/>
      <c r="X5" s="47" t="e">
        <f t="shared" si="18"/>
        <v>#DIV/0!</v>
      </c>
      <c r="Y5" s="49"/>
      <c r="Z5" s="50">
        <f t="shared" si="19"/>
        <v>81.320999999999998</v>
      </c>
      <c r="AA5" s="51">
        <f t="shared" si="20"/>
        <v>8.5601052631578939E-2</v>
      </c>
      <c r="AB5" s="48"/>
      <c r="AC5" s="52">
        <f t="shared" si="3"/>
        <v>-2055</v>
      </c>
      <c r="AD5" s="53">
        <f t="shared" si="4"/>
        <v>-0.41099999999999998</v>
      </c>
      <c r="AE5" s="54"/>
      <c r="AF5" s="53">
        <f t="shared" si="5"/>
        <v>0</v>
      </c>
      <c r="AG5" s="55"/>
      <c r="AH5" s="53">
        <f t="shared" si="21"/>
        <v>0</v>
      </c>
      <c r="AI5" s="48"/>
      <c r="AJ5" s="53">
        <f t="shared" si="6"/>
        <v>0</v>
      </c>
      <c r="AK5" s="55"/>
      <c r="AL5" s="53">
        <f t="shared" si="7"/>
        <v>0</v>
      </c>
      <c r="AM5" s="49"/>
      <c r="AN5" s="51">
        <f t="shared" si="22"/>
        <v>0</v>
      </c>
      <c r="AO5" s="49"/>
      <c r="AP5" s="51">
        <f t="shared" si="8"/>
        <v>0</v>
      </c>
      <c r="AQ5" s="49"/>
      <c r="AR5" s="51" t="e">
        <f t="shared" si="23"/>
        <v>#DIV/0!</v>
      </c>
      <c r="AS5" s="48"/>
      <c r="AT5" s="56">
        <f t="shared" si="9"/>
        <v>10.423999999999999</v>
      </c>
      <c r="AU5" s="53">
        <f t="shared" si="10"/>
        <v>0.18952727272727271</v>
      </c>
      <c r="AV5" s="56">
        <f t="shared" si="24"/>
        <v>0</v>
      </c>
      <c r="AW5" s="57" t="e">
        <f t="shared" si="25"/>
        <v>#DIV/0!</v>
      </c>
    </row>
    <row r="6" spans="1:49" x14ac:dyDescent="0.2">
      <c r="A6" s="13">
        <v>4</v>
      </c>
      <c r="B6" s="39"/>
      <c r="C6" s="40" t="s">
        <v>32</v>
      </c>
      <c r="D6" s="58"/>
      <c r="E6" s="40" t="str">
        <f t="shared" ca="1" si="11"/>
        <v>126 Tahun 9 Bulan 11 Hari</v>
      </c>
      <c r="F6" s="42"/>
      <c r="G6" s="42"/>
      <c r="H6" s="43">
        <f t="shared" si="12"/>
        <v>0</v>
      </c>
      <c r="I6" s="44" t="e">
        <f t="shared" si="0"/>
        <v>#DIV/0!</v>
      </c>
      <c r="J6" s="40" t="e">
        <f t="shared" si="13"/>
        <v>#DIV/0!</v>
      </c>
      <c r="K6" s="45"/>
      <c r="L6" s="46"/>
      <c r="M6" s="47">
        <f t="shared" si="1"/>
        <v>0</v>
      </c>
      <c r="N6" s="46"/>
      <c r="O6" s="47">
        <f t="shared" si="14"/>
        <v>0</v>
      </c>
      <c r="P6" s="46"/>
      <c r="Q6" s="47">
        <f t="shared" si="15"/>
        <v>0</v>
      </c>
      <c r="R6" s="47">
        <f t="shared" si="16"/>
        <v>0</v>
      </c>
      <c r="S6" s="42"/>
      <c r="T6" s="47" t="e">
        <f t="shared" si="2"/>
        <v>#DIV/0!</v>
      </c>
      <c r="U6" s="42"/>
      <c r="V6" s="47" t="e">
        <f t="shared" si="17"/>
        <v>#DIV/0!</v>
      </c>
      <c r="W6" s="48"/>
      <c r="X6" s="47" t="e">
        <f t="shared" si="18"/>
        <v>#DIV/0!</v>
      </c>
      <c r="Y6" s="49"/>
      <c r="Z6" s="50">
        <f t="shared" si="19"/>
        <v>81.320999999999998</v>
      </c>
      <c r="AA6" s="51">
        <f t="shared" si="20"/>
        <v>8.5601052631578939E-2</v>
      </c>
      <c r="AB6" s="48"/>
      <c r="AC6" s="52">
        <f t="shared" si="3"/>
        <v>-2055</v>
      </c>
      <c r="AD6" s="53">
        <f t="shared" si="4"/>
        <v>-0.41099999999999998</v>
      </c>
      <c r="AE6" s="54"/>
      <c r="AF6" s="53">
        <f t="shared" si="5"/>
        <v>0</v>
      </c>
      <c r="AG6" s="55"/>
      <c r="AH6" s="53">
        <f t="shared" si="21"/>
        <v>0</v>
      </c>
      <c r="AI6" s="48"/>
      <c r="AJ6" s="53">
        <f t="shared" si="6"/>
        <v>0</v>
      </c>
      <c r="AK6" s="55"/>
      <c r="AL6" s="53">
        <f t="shared" si="7"/>
        <v>0</v>
      </c>
      <c r="AM6" s="49"/>
      <c r="AN6" s="51">
        <f t="shared" si="22"/>
        <v>0</v>
      </c>
      <c r="AO6" s="49"/>
      <c r="AP6" s="51">
        <f t="shared" si="8"/>
        <v>0</v>
      </c>
      <c r="AQ6" s="49"/>
      <c r="AR6" s="51" t="e">
        <f t="shared" si="23"/>
        <v>#DIV/0!</v>
      </c>
      <c r="AS6" s="48"/>
      <c r="AT6" s="56">
        <f t="shared" si="9"/>
        <v>10.423999999999999</v>
      </c>
      <c r="AU6" s="53">
        <f t="shared" si="10"/>
        <v>0.18952727272727271</v>
      </c>
      <c r="AV6" s="56">
        <f t="shared" si="24"/>
        <v>0</v>
      </c>
      <c r="AW6" s="57" t="e">
        <f t="shared" si="25"/>
        <v>#DIV/0!</v>
      </c>
    </row>
    <row r="7" spans="1:49" x14ac:dyDescent="0.2">
      <c r="A7" s="13">
        <v>5</v>
      </c>
      <c r="B7" s="39"/>
      <c r="C7" s="40" t="s">
        <v>32</v>
      </c>
      <c r="D7" s="58"/>
      <c r="E7" s="40" t="str">
        <f t="shared" ca="1" si="11"/>
        <v>126 Tahun 9 Bulan 11 Hari</v>
      </c>
      <c r="F7" s="42"/>
      <c r="G7" s="42"/>
      <c r="H7" s="43">
        <f t="shared" si="12"/>
        <v>0</v>
      </c>
      <c r="I7" s="44" t="e">
        <f t="shared" si="0"/>
        <v>#DIV/0!</v>
      </c>
      <c r="J7" s="40" t="e">
        <f t="shared" si="13"/>
        <v>#DIV/0!</v>
      </c>
      <c r="K7" s="45"/>
      <c r="L7" s="46"/>
      <c r="M7" s="47">
        <f t="shared" si="1"/>
        <v>0</v>
      </c>
      <c r="N7" s="46"/>
      <c r="O7" s="47">
        <f t="shared" si="14"/>
        <v>0</v>
      </c>
      <c r="P7" s="46"/>
      <c r="Q7" s="47">
        <f t="shared" si="15"/>
        <v>0</v>
      </c>
      <c r="R7" s="47">
        <f t="shared" si="16"/>
        <v>0</v>
      </c>
      <c r="S7" s="42"/>
      <c r="T7" s="47" t="e">
        <f t="shared" si="2"/>
        <v>#DIV/0!</v>
      </c>
      <c r="U7" s="42"/>
      <c r="V7" s="47" t="e">
        <f t="shared" si="17"/>
        <v>#DIV/0!</v>
      </c>
      <c r="W7" s="48"/>
      <c r="X7" s="47" t="e">
        <f t="shared" si="18"/>
        <v>#DIV/0!</v>
      </c>
      <c r="Y7" s="49"/>
      <c r="Z7" s="50">
        <f t="shared" si="19"/>
        <v>81.320999999999998</v>
      </c>
      <c r="AA7" s="51">
        <f t="shared" si="20"/>
        <v>8.5601052631578939E-2</v>
      </c>
      <c r="AB7" s="48"/>
      <c r="AC7" s="52">
        <f t="shared" si="3"/>
        <v>-2055</v>
      </c>
      <c r="AD7" s="53">
        <f t="shared" si="4"/>
        <v>-0.41099999999999998</v>
      </c>
      <c r="AE7" s="54"/>
      <c r="AF7" s="53">
        <f t="shared" si="5"/>
        <v>0</v>
      </c>
      <c r="AG7" s="55"/>
      <c r="AH7" s="53">
        <f t="shared" si="21"/>
        <v>0</v>
      </c>
      <c r="AI7" s="48"/>
      <c r="AJ7" s="53">
        <f t="shared" si="6"/>
        <v>0</v>
      </c>
      <c r="AK7" s="55"/>
      <c r="AL7" s="53">
        <f t="shared" si="7"/>
        <v>0</v>
      </c>
      <c r="AM7" s="49"/>
      <c r="AN7" s="51">
        <f t="shared" si="22"/>
        <v>0</v>
      </c>
      <c r="AO7" s="49"/>
      <c r="AP7" s="51">
        <f t="shared" si="8"/>
        <v>0</v>
      </c>
      <c r="AQ7" s="49"/>
      <c r="AR7" s="51" t="e">
        <f t="shared" si="23"/>
        <v>#DIV/0!</v>
      </c>
      <c r="AS7" s="48"/>
      <c r="AT7" s="56">
        <f t="shared" si="9"/>
        <v>10.423999999999999</v>
      </c>
      <c r="AU7" s="53">
        <f t="shared" si="10"/>
        <v>0.18952727272727271</v>
      </c>
      <c r="AV7" s="56">
        <f t="shared" si="24"/>
        <v>0</v>
      </c>
      <c r="AW7" s="57" t="e">
        <f t="shared" si="25"/>
        <v>#DIV/0!</v>
      </c>
    </row>
    <row r="8" spans="1:49" x14ac:dyDescent="0.2">
      <c r="A8" s="13">
        <v>6</v>
      </c>
      <c r="B8" s="39"/>
      <c r="C8" s="40" t="s">
        <v>32</v>
      </c>
      <c r="D8" s="58"/>
      <c r="E8" s="40" t="str">
        <f t="shared" ca="1" si="11"/>
        <v>126 Tahun 9 Bulan 11 Hari</v>
      </c>
      <c r="F8" s="42"/>
      <c r="G8" s="42"/>
      <c r="H8" s="43">
        <f t="shared" si="12"/>
        <v>0</v>
      </c>
      <c r="I8" s="44" t="e">
        <f t="shared" si="0"/>
        <v>#DIV/0!</v>
      </c>
      <c r="J8" s="40" t="e">
        <f t="shared" si="13"/>
        <v>#DIV/0!</v>
      </c>
      <c r="K8" s="45"/>
      <c r="L8" s="46"/>
      <c r="M8" s="47">
        <f t="shared" si="1"/>
        <v>0</v>
      </c>
      <c r="N8" s="46"/>
      <c r="O8" s="47">
        <f t="shared" si="14"/>
        <v>0</v>
      </c>
      <c r="P8" s="46"/>
      <c r="Q8" s="47">
        <f t="shared" si="15"/>
        <v>0</v>
      </c>
      <c r="R8" s="47">
        <f t="shared" si="16"/>
        <v>0</v>
      </c>
      <c r="S8" s="42"/>
      <c r="T8" s="47" t="e">
        <f t="shared" si="2"/>
        <v>#DIV/0!</v>
      </c>
      <c r="U8" s="42"/>
      <c r="V8" s="47" t="e">
        <f t="shared" si="17"/>
        <v>#DIV/0!</v>
      </c>
      <c r="W8" s="48"/>
      <c r="X8" s="47" t="e">
        <f t="shared" si="18"/>
        <v>#DIV/0!</v>
      </c>
      <c r="Y8" s="49"/>
      <c r="Z8" s="50">
        <f t="shared" si="19"/>
        <v>81.320999999999998</v>
      </c>
      <c r="AA8" s="51">
        <f t="shared" si="20"/>
        <v>8.5601052631578939E-2</v>
      </c>
      <c r="AB8" s="48"/>
      <c r="AC8" s="52">
        <f t="shared" si="3"/>
        <v>-2055</v>
      </c>
      <c r="AD8" s="53">
        <f t="shared" si="4"/>
        <v>-0.41099999999999998</v>
      </c>
      <c r="AE8" s="54"/>
      <c r="AF8" s="53">
        <f t="shared" si="5"/>
        <v>0</v>
      </c>
      <c r="AG8" s="55"/>
      <c r="AH8" s="53">
        <f t="shared" si="21"/>
        <v>0</v>
      </c>
      <c r="AI8" s="48"/>
      <c r="AJ8" s="53">
        <f t="shared" si="6"/>
        <v>0</v>
      </c>
      <c r="AK8" s="55"/>
      <c r="AL8" s="53">
        <f t="shared" si="7"/>
        <v>0</v>
      </c>
      <c r="AM8" s="49"/>
      <c r="AN8" s="51">
        <f t="shared" si="22"/>
        <v>0</v>
      </c>
      <c r="AO8" s="49"/>
      <c r="AP8" s="51">
        <f t="shared" si="8"/>
        <v>0</v>
      </c>
      <c r="AQ8" s="49"/>
      <c r="AR8" s="51" t="e">
        <f t="shared" si="23"/>
        <v>#DIV/0!</v>
      </c>
      <c r="AS8" s="48"/>
      <c r="AT8" s="56">
        <f t="shared" si="9"/>
        <v>10.423999999999999</v>
      </c>
      <c r="AU8" s="53">
        <f t="shared" si="10"/>
        <v>0.18952727272727271</v>
      </c>
      <c r="AV8" s="56">
        <f t="shared" si="24"/>
        <v>0</v>
      </c>
      <c r="AW8" s="57" t="e">
        <f t="shared" si="25"/>
        <v>#DIV/0!</v>
      </c>
    </row>
    <row r="9" spans="1:49" x14ac:dyDescent="0.2">
      <c r="A9" s="13">
        <v>7</v>
      </c>
      <c r="B9" s="39"/>
      <c r="C9" s="40" t="s">
        <v>32</v>
      </c>
      <c r="D9" s="58"/>
      <c r="E9" s="40" t="str">
        <f t="shared" ca="1" si="11"/>
        <v>126 Tahun 9 Bulan 11 Hari</v>
      </c>
      <c r="F9" s="42"/>
      <c r="G9" s="42"/>
      <c r="H9" s="43">
        <f t="shared" si="12"/>
        <v>0</v>
      </c>
      <c r="I9" s="44" t="e">
        <f t="shared" si="0"/>
        <v>#DIV/0!</v>
      </c>
      <c r="J9" s="40" t="e">
        <f t="shared" si="13"/>
        <v>#DIV/0!</v>
      </c>
      <c r="K9" s="45"/>
      <c r="L9" s="46"/>
      <c r="M9" s="47">
        <f t="shared" si="1"/>
        <v>0</v>
      </c>
      <c r="N9" s="46"/>
      <c r="O9" s="47">
        <f t="shared" si="14"/>
        <v>0</v>
      </c>
      <c r="P9" s="46"/>
      <c r="Q9" s="47">
        <f t="shared" si="15"/>
        <v>0</v>
      </c>
      <c r="R9" s="47">
        <f t="shared" si="16"/>
        <v>0</v>
      </c>
      <c r="S9" s="42"/>
      <c r="T9" s="47" t="e">
        <f t="shared" si="2"/>
        <v>#DIV/0!</v>
      </c>
      <c r="U9" s="42"/>
      <c r="V9" s="47" t="e">
        <f t="shared" si="17"/>
        <v>#DIV/0!</v>
      </c>
      <c r="W9" s="48"/>
      <c r="X9" s="47" t="e">
        <f t="shared" si="18"/>
        <v>#DIV/0!</v>
      </c>
      <c r="Y9" s="49"/>
      <c r="Z9" s="50">
        <f t="shared" si="19"/>
        <v>81.320999999999998</v>
      </c>
      <c r="AA9" s="51">
        <f t="shared" si="20"/>
        <v>8.5601052631578939E-2</v>
      </c>
      <c r="AB9" s="48"/>
      <c r="AC9" s="52">
        <f t="shared" si="3"/>
        <v>-2055</v>
      </c>
      <c r="AD9" s="53">
        <f t="shared" si="4"/>
        <v>-0.41099999999999998</v>
      </c>
      <c r="AE9" s="54"/>
      <c r="AF9" s="53">
        <f t="shared" si="5"/>
        <v>0</v>
      </c>
      <c r="AG9" s="55"/>
      <c r="AH9" s="53">
        <f t="shared" si="21"/>
        <v>0</v>
      </c>
      <c r="AI9" s="48"/>
      <c r="AJ9" s="53">
        <f t="shared" si="6"/>
        <v>0</v>
      </c>
      <c r="AK9" s="55"/>
      <c r="AL9" s="53">
        <f t="shared" si="7"/>
        <v>0</v>
      </c>
      <c r="AM9" s="49"/>
      <c r="AN9" s="51">
        <f t="shared" si="22"/>
        <v>0</v>
      </c>
      <c r="AO9" s="49"/>
      <c r="AP9" s="51">
        <f t="shared" si="8"/>
        <v>0</v>
      </c>
      <c r="AQ9" s="49"/>
      <c r="AR9" s="51" t="e">
        <f t="shared" si="23"/>
        <v>#DIV/0!</v>
      </c>
      <c r="AS9" s="48"/>
      <c r="AT9" s="56">
        <f t="shared" si="9"/>
        <v>10.423999999999999</v>
      </c>
      <c r="AU9" s="53">
        <f t="shared" si="10"/>
        <v>0.18952727272727271</v>
      </c>
      <c r="AV9" s="56">
        <f t="shared" si="24"/>
        <v>0</v>
      </c>
      <c r="AW9" s="57" t="e">
        <f t="shared" si="25"/>
        <v>#DIV/0!</v>
      </c>
    </row>
    <row r="10" spans="1:49" x14ac:dyDescent="0.2">
      <c r="A10" s="13">
        <v>8</v>
      </c>
      <c r="B10" s="39"/>
      <c r="C10" s="40" t="s">
        <v>32</v>
      </c>
      <c r="D10" s="58"/>
      <c r="E10" s="40" t="str">
        <f t="shared" ca="1" si="11"/>
        <v>126 Tahun 9 Bulan 11 Hari</v>
      </c>
      <c r="F10" s="42"/>
      <c r="G10" s="42"/>
      <c r="H10" s="43">
        <f t="shared" si="12"/>
        <v>0</v>
      </c>
      <c r="I10" s="44" t="e">
        <f t="shared" si="0"/>
        <v>#DIV/0!</v>
      </c>
      <c r="J10" s="40" t="e">
        <f t="shared" si="13"/>
        <v>#DIV/0!</v>
      </c>
      <c r="K10" s="45"/>
      <c r="L10" s="46"/>
      <c r="M10" s="47">
        <f t="shared" si="1"/>
        <v>0</v>
      </c>
      <c r="N10" s="46"/>
      <c r="O10" s="47">
        <f t="shared" si="14"/>
        <v>0</v>
      </c>
      <c r="P10" s="46"/>
      <c r="Q10" s="47">
        <f t="shared" si="15"/>
        <v>0</v>
      </c>
      <c r="R10" s="47">
        <f t="shared" si="16"/>
        <v>0</v>
      </c>
      <c r="S10" s="42"/>
      <c r="T10" s="47" t="e">
        <f t="shared" si="2"/>
        <v>#DIV/0!</v>
      </c>
      <c r="U10" s="42"/>
      <c r="V10" s="47" t="e">
        <f t="shared" si="17"/>
        <v>#DIV/0!</v>
      </c>
      <c r="W10" s="48"/>
      <c r="X10" s="47" t="e">
        <f t="shared" si="18"/>
        <v>#DIV/0!</v>
      </c>
      <c r="Y10" s="49"/>
      <c r="Z10" s="50">
        <f t="shared" si="19"/>
        <v>81.320999999999998</v>
      </c>
      <c r="AA10" s="51">
        <f t="shared" si="20"/>
        <v>8.5601052631578939E-2</v>
      </c>
      <c r="AB10" s="48"/>
      <c r="AC10" s="52">
        <f t="shared" si="3"/>
        <v>-2055</v>
      </c>
      <c r="AD10" s="53">
        <f t="shared" si="4"/>
        <v>-0.41099999999999998</v>
      </c>
      <c r="AE10" s="54"/>
      <c r="AF10" s="53">
        <f t="shared" si="5"/>
        <v>0</v>
      </c>
      <c r="AG10" s="55"/>
      <c r="AH10" s="53">
        <f t="shared" si="21"/>
        <v>0</v>
      </c>
      <c r="AI10" s="48"/>
      <c r="AJ10" s="53">
        <f t="shared" si="6"/>
        <v>0</v>
      </c>
      <c r="AK10" s="55"/>
      <c r="AL10" s="53">
        <f t="shared" si="7"/>
        <v>0</v>
      </c>
      <c r="AM10" s="49"/>
      <c r="AN10" s="51">
        <f t="shared" si="22"/>
        <v>0</v>
      </c>
      <c r="AO10" s="49"/>
      <c r="AP10" s="51">
        <f t="shared" si="8"/>
        <v>0</v>
      </c>
      <c r="AQ10" s="49"/>
      <c r="AR10" s="51" t="e">
        <f t="shared" si="23"/>
        <v>#DIV/0!</v>
      </c>
      <c r="AS10" s="48"/>
      <c r="AT10" s="56">
        <f t="shared" si="9"/>
        <v>10.423999999999999</v>
      </c>
      <c r="AU10" s="53">
        <f t="shared" si="10"/>
        <v>0.18952727272727271</v>
      </c>
      <c r="AV10" s="56">
        <f t="shared" si="24"/>
        <v>0</v>
      </c>
      <c r="AW10" s="57" t="e">
        <f t="shared" si="25"/>
        <v>#DIV/0!</v>
      </c>
    </row>
    <row r="11" spans="1:49" x14ac:dyDescent="0.2">
      <c r="A11" s="13">
        <v>9</v>
      </c>
      <c r="B11" s="39"/>
      <c r="C11" s="40" t="s">
        <v>32</v>
      </c>
      <c r="D11" s="58"/>
      <c r="E11" s="40" t="str">
        <f t="shared" ca="1" si="11"/>
        <v>126 Tahun 9 Bulan 11 Hari</v>
      </c>
      <c r="F11" s="42"/>
      <c r="G11" s="42"/>
      <c r="H11" s="43">
        <f t="shared" si="12"/>
        <v>0</v>
      </c>
      <c r="I11" s="44" t="e">
        <f t="shared" si="0"/>
        <v>#DIV/0!</v>
      </c>
      <c r="J11" s="40" t="e">
        <f t="shared" si="13"/>
        <v>#DIV/0!</v>
      </c>
      <c r="K11" s="45"/>
      <c r="L11" s="46"/>
      <c r="M11" s="47">
        <f t="shared" si="1"/>
        <v>0</v>
      </c>
      <c r="N11" s="46"/>
      <c r="O11" s="47">
        <f t="shared" si="14"/>
        <v>0</v>
      </c>
      <c r="P11" s="46"/>
      <c r="Q11" s="47">
        <f t="shared" si="15"/>
        <v>0</v>
      </c>
      <c r="R11" s="47">
        <f t="shared" si="16"/>
        <v>0</v>
      </c>
      <c r="S11" s="42"/>
      <c r="T11" s="47" t="e">
        <f t="shared" si="2"/>
        <v>#DIV/0!</v>
      </c>
      <c r="U11" s="42"/>
      <c r="V11" s="47" t="e">
        <f t="shared" si="17"/>
        <v>#DIV/0!</v>
      </c>
      <c r="W11" s="48"/>
      <c r="X11" s="47" t="e">
        <f t="shared" si="18"/>
        <v>#DIV/0!</v>
      </c>
      <c r="Y11" s="49"/>
      <c r="Z11" s="50">
        <f t="shared" si="19"/>
        <v>81.320999999999998</v>
      </c>
      <c r="AA11" s="51">
        <f t="shared" si="20"/>
        <v>8.5601052631578939E-2</v>
      </c>
      <c r="AB11" s="48"/>
      <c r="AC11" s="52">
        <f t="shared" si="3"/>
        <v>-2055</v>
      </c>
      <c r="AD11" s="53">
        <f t="shared" si="4"/>
        <v>-0.41099999999999998</v>
      </c>
      <c r="AE11" s="54"/>
      <c r="AF11" s="53">
        <f t="shared" si="5"/>
        <v>0</v>
      </c>
      <c r="AG11" s="55"/>
      <c r="AH11" s="53">
        <f t="shared" si="21"/>
        <v>0</v>
      </c>
      <c r="AI11" s="48"/>
      <c r="AJ11" s="53">
        <f t="shared" si="6"/>
        <v>0</v>
      </c>
      <c r="AK11" s="55"/>
      <c r="AL11" s="53">
        <f t="shared" si="7"/>
        <v>0</v>
      </c>
      <c r="AM11" s="49"/>
      <c r="AN11" s="51">
        <f t="shared" si="22"/>
        <v>0</v>
      </c>
      <c r="AO11" s="49"/>
      <c r="AP11" s="51">
        <f t="shared" si="8"/>
        <v>0</v>
      </c>
      <c r="AQ11" s="49"/>
      <c r="AR11" s="51" t="e">
        <f t="shared" si="23"/>
        <v>#DIV/0!</v>
      </c>
      <c r="AS11" s="48"/>
      <c r="AT11" s="56">
        <f t="shared" si="9"/>
        <v>10.423999999999999</v>
      </c>
      <c r="AU11" s="53">
        <f t="shared" si="10"/>
        <v>0.18952727272727271</v>
      </c>
      <c r="AV11" s="56">
        <f t="shared" si="24"/>
        <v>0</v>
      </c>
      <c r="AW11" s="57" t="e">
        <f t="shared" si="25"/>
        <v>#DIV/0!</v>
      </c>
    </row>
    <row r="12" spans="1:49" x14ac:dyDescent="0.2">
      <c r="A12" s="13">
        <v>10</v>
      </c>
      <c r="B12" s="39"/>
      <c r="C12" s="40" t="s">
        <v>32</v>
      </c>
      <c r="D12" s="58"/>
      <c r="E12" s="40" t="str">
        <f t="shared" ca="1" si="11"/>
        <v>126 Tahun 9 Bulan 11 Hari</v>
      </c>
      <c r="F12" s="42"/>
      <c r="G12" s="42"/>
      <c r="H12" s="43">
        <f t="shared" si="12"/>
        <v>0</v>
      </c>
      <c r="I12" s="44" t="e">
        <f t="shared" si="0"/>
        <v>#DIV/0!</v>
      </c>
      <c r="J12" s="40" t="e">
        <f t="shared" si="13"/>
        <v>#DIV/0!</v>
      </c>
      <c r="K12" s="45"/>
      <c r="L12" s="46"/>
      <c r="M12" s="47">
        <f t="shared" si="1"/>
        <v>0</v>
      </c>
      <c r="N12" s="46"/>
      <c r="O12" s="47">
        <f t="shared" si="14"/>
        <v>0</v>
      </c>
      <c r="P12" s="46"/>
      <c r="Q12" s="47">
        <f t="shared" si="15"/>
        <v>0</v>
      </c>
      <c r="R12" s="47">
        <f t="shared" si="16"/>
        <v>0</v>
      </c>
      <c r="S12" s="42"/>
      <c r="T12" s="47" t="e">
        <f t="shared" si="2"/>
        <v>#DIV/0!</v>
      </c>
      <c r="U12" s="42"/>
      <c r="V12" s="47" t="e">
        <f t="shared" si="17"/>
        <v>#DIV/0!</v>
      </c>
      <c r="W12" s="48"/>
      <c r="X12" s="47" t="e">
        <f t="shared" si="18"/>
        <v>#DIV/0!</v>
      </c>
      <c r="Y12" s="49"/>
      <c r="Z12" s="50">
        <f t="shared" si="19"/>
        <v>81.320999999999998</v>
      </c>
      <c r="AA12" s="51">
        <f t="shared" si="20"/>
        <v>8.5601052631578939E-2</v>
      </c>
      <c r="AB12" s="48"/>
      <c r="AC12" s="52">
        <f t="shared" si="3"/>
        <v>-2055</v>
      </c>
      <c r="AD12" s="53">
        <f t="shared" si="4"/>
        <v>-0.41099999999999998</v>
      </c>
      <c r="AE12" s="54"/>
      <c r="AF12" s="53">
        <f t="shared" si="5"/>
        <v>0</v>
      </c>
      <c r="AG12" s="55"/>
      <c r="AH12" s="53">
        <f t="shared" si="21"/>
        <v>0</v>
      </c>
      <c r="AI12" s="48"/>
      <c r="AJ12" s="53">
        <f t="shared" si="6"/>
        <v>0</v>
      </c>
      <c r="AK12" s="55"/>
      <c r="AL12" s="53">
        <f t="shared" si="7"/>
        <v>0</v>
      </c>
      <c r="AM12" s="49"/>
      <c r="AN12" s="51">
        <f t="shared" si="22"/>
        <v>0</v>
      </c>
      <c r="AO12" s="49"/>
      <c r="AP12" s="51">
        <f t="shared" si="8"/>
        <v>0</v>
      </c>
      <c r="AQ12" s="49"/>
      <c r="AR12" s="51" t="e">
        <f t="shared" si="23"/>
        <v>#DIV/0!</v>
      </c>
      <c r="AS12" s="48"/>
      <c r="AT12" s="56">
        <f t="shared" si="9"/>
        <v>10.423999999999999</v>
      </c>
      <c r="AU12" s="53">
        <f t="shared" si="10"/>
        <v>0.18952727272727271</v>
      </c>
      <c r="AV12" s="56">
        <f t="shared" si="24"/>
        <v>0</v>
      </c>
      <c r="AW12" s="57" t="e">
        <f t="shared" si="25"/>
        <v>#DIV/0!</v>
      </c>
    </row>
    <row r="13" spans="1:49" x14ac:dyDescent="0.2">
      <c r="A13" s="13">
        <v>11</v>
      </c>
      <c r="B13" s="14" t="s">
        <v>39</v>
      </c>
      <c r="C13" s="59" t="s">
        <v>33</v>
      </c>
      <c r="D13" s="60"/>
      <c r="E13" s="59" t="str">
        <f t="shared" ca="1" si="11"/>
        <v>126 Tahun 9 Bulan 11 Hari</v>
      </c>
      <c r="F13" s="15"/>
      <c r="G13" s="15"/>
      <c r="H13" s="61">
        <f t="shared" si="12"/>
        <v>0</v>
      </c>
      <c r="I13" s="62" t="e">
        <f t="shared" si="0"/>
        <v>#DIV/0!</v>
      </c>
      <c r="J13" s="59" t="e">
        <f t="shared" si="13"/>
        <v>#DIV/0!</v>
      </c>
      <c r="K13" s="63"/>
      <c r="L13" s="64"/>
      <c r="M13" s="65">
        <f>L13/$L$25</f>
        <v>0</v>
      </c>
      <c r="N13" s="64"/>
      <c r="O13" s="65">
        <f>N13/$N$25</f>
        <v>0</v>
      </c>
      <c r="P13" s="64"/>
      <c r="Q13" s="65">
        <f>P13/$L$25</f>
        <v>0</v>
      </c>
      <c r="R13" s="47">
        <f t="shared" si="16"/>
        <v>0</v>
      </c>
      <c r="S13" s="15"/>
      <c r="T13" s="65" t="e">
        <f>$S$25/S13</f>
        <v>#DIV/0!</v>
      </c>
      <c r="U13" s="15"/>
      <c r="V13" s="65" t="e">
        <f>$U$25/U13</f>
        <v>#DIV/0!</v>
      </c>
      <c r="W13" s="66"/>
      <c r="X13" s="65" t="e">
        <f>$W$25/W13</f>
        <v>#DIV/0!</v>
      </c>
      <c r="Y13" s="67"/>
      <c r="Z13" s="50">
        <f t="shared" si="19"/>
        <v>81.320999999999998</v>
      </c>
      <c r="AA13" s="68">
        <f>Z13/$Z$25</f>
        <v>0.13553499999999999</v>
      </c>
      <c r="AB13" s="66"/>
      <c r="AC13" s="52">
        <f t="shared" si="3"/>
        <v>-2055</v>
      </c>
      <c r="AD13" s="69">
        <f t="shared" ref="AD13:AD22" si="26">AC13/$AC$25</f>
        <v>-0.51375000000000004</v>
      </c>
      <c r="AE13" s="70"/>
      <c r="AF13" s="69">
        <f>AE13/$AE$25</f>
        <v>0</v>
      </c>
      <c r="AG13" s="71"/>
      <c r="AH13" s="69">
        <f>AG13/$AG$25</f>
        <v>0</v>
      </c>
      <c r="AI13" s="66"/>
      <c r="AJ13" s="69">
        <f>AI13/$AI$25</f>
        <v>0</v>
      </c>
      <c r="AK13" s="71"/>
      <c r="AL13" s="69">
        <f t="shared" ref="AL13:AL22" si="27">AK13/$AK$25</f>
        <v>0</v>
      </c>
      <c r="AM13" s="67"/>
      <c r="AN13" s="68">
        <f>AM13/$AO$25</f>
        <v>0</v>
      </c>
      <c r="AO13" s="67"/>
      <c r="AP13" s="68">
        <f t="shared" ref="AP13:AP22" si="28">AO13/$AO$25</f>
        <v>0</v>
      </c>
      <c r="AQ13" s="67"/>
      <c r="AR13" s="68" t="e">
        <f>$AQ$25/AQ13</f>
        <v>#DIV/0!</v>
      </c>
      <c r="AS13" s="66"/>
      <c r="AT13" s="72">
        <f t="shared" si="9"/>
        <v>10.423999999999999</v>
      </c>
      <c r="AU13" s="69">
        <f>AT13/$AT$25</f>
        <v>0.20848</v>
      </c>
      <c r="AV13" s="72">
        <f t="shared" si="24"/>
        <v>0</v>
      </c>
      <c r="AW13" s="73" t="e">
        <f t="shared" si="25"/>
        <v>#DIV/0!</v>
      </c>
    </row>
    <row r="14" spans="1:49" x14ac:dyDescent="0.2">
      <c r="A14" s="13">
        <v>12</v>
      </c>
      <c r="B14" s="14" t="s">
        <v>40</v>
      </c>
      <c r="C14" s="59" t="s">
        <v>33</v>
      </c>
      <c r="D14" s="60"/>
      <c r="E14" s="59" t="str">
        <f t="shared" ca="1" si="11"/>
        <v>126 Tahun 9 Bulan 11 Hari</v>
      </c>
      <c r="F14" s="15"/>
      <c r="G14" s="15"/>
      <c r="H14" s="61">
        <f t="shared" si="12"/>
        <v>0</v>
      </c>
      <c r="I14" s="62" t="e">
        <f t="shared" si="0"/>
        <v>#DIV/0!</v>
      </c>
      <c r="J14" s="59" t="e">
        <f t="shared" si="13"/>
        <v>#DIV/0!</v>
      </c>
      <c r="K14" s="63"/>
      <c r="L14" s="64"/>
      <c r="M14" s="65">
        <f t="shared" ref="M14:M22" si="29">L14/$L$25</f>
        <v>0</v>
      </c>
      <c r="N14" s="64"/>
      <c r="O14" s="65">
        <f t="shared" ref="O14:O22" si="30">N14/$N$25</f>
        <v>0</v>
      </c>
      <c r="P14" s="64"/>
      <c r="Q14" s="65">
        <f t="shared" ref="Q14:Q22" si="31">P14/$L$25</f>
        <v>0</v>
      </c>
      <c r="R14" s="47">
        <f t="shared" si="16"/>
        <v>0</v>
      </c>
      <c r="S14" s="15"/>
      <c r="T14" s="65" t="e">
        <f t="shared" ref="T14:T22" si="32">$S$25/S14</f>
        <v>#DIV/0!</v>
      </c>
      <c r="U14" s="15"/>
      <c r="V14" s="65" t="e">
        <f t="shared" ref="V14:V22" si="33">$U$25/U14</f>
        <v>#DIV/0!</v>
      </c>
      <c r="W14" s="66"/>
      <c r="X14" s="65" t="e">
        <f t="shared" ref="X14:X22" si="34">$W$25/W14</f>
        <v>#DIV/0!</v>
      </c>
      <c r="Y14" s="67"/>
      <c r="Z14" s="50">
        <f t="shared" si="19"/>
        <v>81.320999999999998</v>
      </c>
      <c r="AA14" s="68">
        <f t="shared" ref="AA14:AA22" si="35">Z14/$Z$25</f>
        <v>0.13553499999999999</v>
      </c>
      <c r="AB14" s="66"/>
      <c r="AC14" s="52">
        <f t="shared" si="3"/>
        <v>-2055</v>
      </c>
      <c r="AD14" s="69">
        <f t="shared" si="26"/>
        <v>-0.51375000000000004</v>
      </c>
      <c r="AE14" s="70"/>
      <c r="AF14" s="69">
        <f t="shared" ref="AF14:AF22" si="36">AE14/$AE$25</f>
        <v>0</v>
      </c>
      <c r="AG14" s="71"/>
      <c r="AH14" s="69">
        <f t="shared" ref="AH14:AH22" si="37">AG14/$AG$25</f>
        <v>0</v>
      </c>
      <c r="AI14" s="66"/>
      <c r="AJ14" s="69">
        <f t="shared" ref="AJ14:AJ22" si="38">AI14/$AI$25</f>
        <v>0</v>
      </c>
      <c r="AK14" s="71"/>
      <c r="AL14" s="69">
        <f t="shared" si="27"/>
        <v>0</v>
      </c>
      <c r="AM14" s="67"/>
      <c r="AN14" s="68">
        <f t="shared" ref="AN14:AN22" si="39">AM14/$AO$25</f>
        <v>0</v>
      </c>
      <c r="AO14" s="67"/>
      <c r="AP14" s="68">
        <f t="shared" si="28"/>
        <v>0</v>
      </c>
      <c r="AQ14" s="67"/>
      <c r="AR14" s="68" t="e">
        <f t="shared" ref="AR14:AR22" si="40">$AQ$25/AQ14</f>
        <v>#DIV/0!</v>
      </c>
      <c r="AS14" s="66"/>
      <c r="AT14" s="72">
        <f t="shared" si="9"/>
        <v>10.423999999999999</v>
      </c>
      <c r="AU14" s="69">
        <f t="shared" ref="AU14:AU22" si="41">AT14/$AT$25</f>
        <v>0.20848</v>
      </c>
      <c r="AV14" s="72">
        <f t="shared" si="24"/>
        <v>0</v>
      </c>
      <c r="AW14" s="73" t="e">
        <f t="shared" si="25"/>
        <v>#DIV/0!</v>
      </c>
    </row>
    <row r="15" spans="1:49" x14ac:dyDescent="0.2">
      <c r="A15" s="13">
        <v>13</v>
      </c>
      <c r="B15" s="14"/>
      <c r="C15" s="59" t="s">
        <v>33</v>
      </c>
      <c r="D15" s="60"/>
      <c r="E15" s="59" t="str">
        <f t="shared" ca="1" si="11"/>
        <v>126 Tahun 9 Bulan 11 Hari</v>
      </c>
      <c r="F15" s="15"/>
      <c r="G15" s="15"/>
      <c r="H15" s="61">
        <f t="shared" si="12"/>
        <v>0</v>
      </c>
      <c r="I15" s="62" t="e">
        <f t="shared" si="0"/>
        <v>#DIV/0!</v>
      </c>
      <c r="J15" s="59" t="e">
        <f t="shared" si="13"/>
        <v>#DIV/0!</v>
      </c>
      <c r="K15" s="63"/>
      <c r="L15" s="64"/>
      <c r="M15" s="65">
        <f t="shared" si="29"/>
        <v>0</v>
      </c>
      <c r="N15" s="64"/>
      <c r="O15" s="65">
        <f t="shared" si="30"/>
        <v>0</v>
      </c>
      <c r="P15" s="64"/>
      <c r="Q15" s="65">
        <f t="shared" si="31"/>
        <v>0</v>
      </c>
      <c r="R15" s="47">
        <f t="shared" si="16"/>
        <v>0</v>
      </c>
      <c r="S15" s="15"/>
      <c r="T15" s="65" t="e">
        <f t="shared" si="32"/>
        <v>#DIV/0!</v>
      </c>
      <c r="U15" s="15"/>
      <c r="V15" s="65" t="e">
        <f t="shared" si="33"/>
        <v>#DIV/0!</v>
      </c>
      <c r="W15" s="66"/>
      <c r="X15" s="65" t="e">
        <f t="shared" si="34"/>
        <v>#DIV/0!</v>
      </c>
      <c r="Y15" s="67"/>
      <c r="Z15" s="50">
        <f t="shared" si="19"/>
        <v>81.320999999999998</v>
      </c>
      <c r="AA15" s="68">
        <f t="shared" si="35"/>
        <v>0.13553499999999999</v>
      </c>
      <c r="AB15" s="66"/>
      <c r="AC15" s="52">
        <f t="shared" si="3"/>
        <v>-2055</v>
      </c>
      <c r="AD15" s="69">
        <f t="shared" si="26"/>
        <v>-0.51375000000000004</v>
      </c>
      <c r="AE15" s="70"/>
      <c r="AF15" s="69">
        <f t="shared" si="36"/>
        <v>0</v>
      </c>
      <c r="AG15" s="71"/>
      <c r="AH15" s="69">
        <f t="shared" si="37"/>
        <v>0</v>
      </c>
      <c r="AI15" s="66"/>
      <c r="AJ15" s="69">
        <f t="shared" si="38"/>
        <v>0</v>
      </c>
      <c r="AK15" s="71"/>
      <c r="AL15" s="69">
        <f t="shared" si="27"/>
        <v>0</v>
      </c>
      <c r="AM15" s="67"/>
      <c r="AN15" s="68">
        <f t="shared" si="39"/>
        <v>0</v>
      </c>
      <c r="AO15" s="67"/>
      <c r="AP15" s="68">
        <f t="shared" si="28"/>
        <v>0</v>
      </c>
      <c r="AQ15" s="67"/>
      <c r="AR15" s="68" t="e">
        <f t="shared" si="40"/>
        <v>#DIV/0!</v>
      </c>
      <c r="AS15" s="66"/>
      <c r="AT15" s="72">
        <f t="shared" si="9"/>
        <v>10.423999999999999</v>
      </c>
      <c r="AU15" s="69">
        <f t="shared" si="41"/>
        <v>0.20848</v>
      </c>
      <c r="AV15" s="72">
        <f t="shared" si="24"/>
        <v>0</v>
      </c>
      <c r="AW15" s="73" t="e">
        <f t="shared" si="25"/>
        <v>#DIV/0!</v>
      </c>
    </row>
    <row r="16" spans="1:49" x14ac:dyDescent="0.2">
      <c r="A16" s="13">
        <v>14</v>
      </c>
      <c r="B16" s="14"/>
      <c r="C16" s="59" t="s">
        <v>33</v>
      </c>
      <c r="D16" s="60"/>
      <c r="E16" s="59" t="str">
        <f t="shared" ca="1" si="11"/>
        <v>126 Tahun 9 Bulan 11 Hari</v>
      </c>
      <c r="F16" s="15"/>
      <c r="G16" s="15"/>
      <c r="H16" s="61">
        <f t="shared" si="12"/>
        <v>0</v>
      </c>
      <c r="I16" s="62" t="e">
        <f t="shared" si="0"/>
        <v>#DIV/0!</v>
      </c>
      <c r="J16" s="59" t="e">
        <f t="shared" si="13"/>
        <v>#DIV/0!</v>
      </c>
      <c r="K16" s="63"/>
      <c r="L16" s="64"/>
      <c r="M16" s="65">
        <f t="shared" si="29"/>
        <v>0</v>
      </c>
      <c r="N16" s="64"/>
      <c r="O16" s="65">
        <f t="shared" si="30"/>
        <v>0</v>
      </c>
      <c r="P16" s="64"/>
      <c r="Q16" s="65">
        <f t="shared" si="31"/>
        <v>0</v>
      </c>
      <c r="R16" s="47">
        <f t="shared" si="16"/>
        <v>0</v>
      </c>
      <c r="S16" s="15"/>
      <c r="T16" s="65" t="e">
        <f t="shared" si="32"/>
        <v>#DIV/0!</v>
      </c>
      <c r="U16" s="15"/>
      <c r="V16" s="65" t="e">
        <f t="shared" si="33"/>
        <v>#DIV/0!</v>
      </c>
      <c r="W16" s="66"/>
      <c r="X16" s="65" t="e">
        <f t="shared" si="34"/>
        <v>#DIV/0!</v>
      </c>
      <c r="Y16" s="67"/>
      <c r="Z16" s="50">
        <f t="shared" si="19"/>
        <v>81.320999999999998</v>
      </c>
      <c r="AA16" s="68">
        <f t="shared" si="35"/>
        <v>0.13553499999999999</v>
      </c>
      <c r="AB16" s="66"/>
      <c r="AC16" s="52">
        <f t="shared" si="3"/>
        <v>-2055</v>
      </c>
      <c r="AD16" s="69">
        <f t="shared" si="26"/>
        <v>-0.51375000000000004</v>
      </c>
      <c r="AE16" s="70"/>
      <c r="AF16" s="69">
        <f t="shared" si="36"/>
        <v>0</v>
      </c>
      <c r="AG16" s="71"/>
      <c r="AH16" s="69">
        <f t="shared" si="37"/>
        <v>0</v>
      </c>
      <c r="AI16" s="66"/>
      <c r="AJ16" s="69">
        <f t="shared" si="38"/>
        <v>0</v>
      </c>
      <c r="AK16" s="71"/>
      <c r="AL16" s="69">
        <f t="shared" si="27"/>
        <v>0</v>
      </c>
      <c r="AM16" s="67"/>
      <c r="AN16" s="68">
        <f t="shared" si="39"/>
        <v>0</v>
      </c>
      <c r="AO16" s="67"/>
      <c r="AP16" s="68">
        <f t="shared" si="28"/>
        <v>0</v>
      </c>
      <c r="AQ16" s="67"/>
      <c r="AR16" s="68" t="e">
        <f t="shared" si="40"/>
        <v>#DIV/0!</v>
      </c>
      <c r="AS16" s="66"/>
      <c r="AT16" s="72">
        <f t="shared" si="9"/>
        <v>10.423999999999999</v>
      </c>
      <c r="AU16" s="69">
        <f t="shared" si="41"/>
        <v>0.20848</v>
      </c>
      <c r="AV16" s="72">
        <f t="shared" si="24"/>
        <v>0</v>
      </c>
      <c r="AW16" s="73" t="e">
        <f t="shared" si="25"/>
        <v>#DIV/0!</v>
      </c>
    </row>
    <row r="17" spans="1:49" x14ac:dyDescent="0.2">
      <c r="A17" s="13">
        <v>15</v>
      </c>
      <c r="B17" s="14"/>
      <c r="C17" s="59" t="s">
        <v>33</v>
      </c>
      <c r="D17" s="60"/>
      <c r="E17" s="59" t="str">
        <f t="shared" ca="1" si="11"/>
        <v>126 Tahun 9 Bulan 11 Hari</v>
      </c>
      <c r="F17" s="15"/>
      <c r="G17" s="15"/>
      <c r="H17" s="61">
        <f t="shared" si="12"/>
        <v>0</v>
      </c>
      <c r="I17" s="62" t="e">
        <f t="shared" si="0"/>
        <v>#DIV/0!</v>
      </c>
      <c r="J17" s="59" t="e">
        <f t="shared" si="13"/>
        <v>#DIV/0!</v>
      </c>
      <c r="K17" s="63"/>
      <c r="L17" s="64"/>
      <c r="M17" s="65">
        <f t="shared" si="29"/>
        <v>0</v>
      </c>
      <c r="N17" s="64"/>
      <c r="O17" s="65">
        <f t="shared" si="30"/>
        <v>0</v>
      </c>
      <c r="P17" s="64"/>
      <c r="Q17" s="65">
        <f t="shared" si="31"/>
        <v>0</v>
      </c>
      <c r="R17" s="47">
        <f t="shared" si="16"/>
        <v>0</v>
      </c>
      <c r="S17" s="15"/>
      <c r="T17" s="65" t="e">
        <f t="shared" si="32"/>
        <v>#DIV/0!</v>
      </c>
      <c r="U17" s="15"/>
      <c r="V17" s="65" t="e">
        <f t="shared" si="33"/>
        <v>#DIV/0!</v>
      </c>
      <c r="W17" s="66"/>
      <c r="X17" s="65" t="e">
        <f t="shared" si="34"/>
        <v>#DIV/0!</v>
      </c>
      <c r="Y17" s="67"/>
      <c r="Z17" s="50">
        <f t="shared" si="19"/>
        <v>81.320999999999998</v>
      </c>
      <c r="AA17" s="68">
        <f t="shared" si="35"/>
        <v>0.13553499999999999</v>
      </c>
      <c r="AB17" s="66"/>
      <c r="AC17" s="52">
        <f t="shared" si="3"/>
        <v>-2055</v>
      </c>
      <c r="AD17" s="69">
        <f t="shared" si="26"/>
        <v>-0.51375000000000004</v>
      </c>
      <c r="AE17" s="70"/>
      <c r="AF17" s="69">
        <f t="shared" si="36"/>
        <v>0</v>
      </c>
      <c r="AG17" s="71"/>
      <c r="AH17" s="69">
        <f t="shared" si="37"/>
        <v>0</v>
      </c>
      <c r="AI17" s="66"/>
      <c r="AJ17" s="69">
        <f t="shared" si="38"/>
        <v>0</v>
      </c>
      <c r="AK17" s="71"/>
      <c r="AL17" s="69">
        <f t="shared" si="27"/>
        <v>0</v>
      </c>
      <c r="AM17" s="67"/>
      <c r="AN17" s="68">
        <f t="shared" si="39"/>
        <v>0</v>
      </c>
      <c r="AO17" s="67"/>
      <c r="AP17" s="68">
        <f t="shared" si="28"/>
        <v>0</v>
      </c>
      <c r="AQ17" s="67"/>
      <c r="AR17" s="68" t="e">
        <f t="shared" si="40"/>
        <v>#DIV/0!</v>
      </c>
      <c r="AS17" s="66"/>
      <c r="AT17" s="72">
        <f t="shared" si="9"/>
        <v>10.423999999999999</v>
      </c>
      <c r="AU17" s="69">
        <f t="shared" si="41"/>
        <v>0.20848</v>
      </c>
      <c r="AV17" s="72">
        <f t="shared" si="24"/>
        <v>0</v>
      </c>
      <c r="AW17" s="73" t="e">
        <f t="shared" si="25"/>
        <v>#DIV/0!</v>
      </c>
    </row>
    <row r="18" spans="1:49" x14ac:dyDescent="0.2">
      <c r="A18" s="13">
        <v>16</v>
      </c>
      <c r="B18" s="14"/>
      <c r="C18" s="59" t="s">
        <v>33</v>
      </c>
      <c r="D18" s="60"/>
      <c r="E18" s="59" t="str">
        <f t="shared" ca="1" si="11"/>
        <v>126 Tahun 9 Bulan 11 Hari</v>
      </c>
      <c r="F18" s="15"/>
      <c r="G18" s="15"/>
      <c r="H18" s="61">
        <f t="shared" si="12"/>
        <v>0</v>
      </c>
      <c r="I18" s="62" t="e">
        <f t="shared" si="0"/>
        <v>#DIV/0!</v>
      </c>
      <c r="J18" s="59" t="e">
        <f t="shared" si="13"/>
        <v>#DIV/0!</v>
      </c>
      <c r="K18" s="63"/>
      <c r="L18" s="64"/>
      <c r="M18" s="65">
        <f t="shared" si="29"/>
        <v>0</v>
      </c>
      <c r="N18" s="64"/>
      <c r="O18" s="65">
        <f t="shared" si="30"/>
        <v>0</v>
      </c>
      <c r="P18" s="64"/>
      <c r="Q18" s="65">
        <f t="shared" si="31"/>
        <v>0</v>
      </c>
      <c r="R18" s="47">
        <f t="shared" si="16"/>
        <v>0</v>
      </c>
      <c r="S18" s="15"/>
      <c r="T18" s="65" t="e">
        <f t="shared" si="32"/>
        <v>#DIV/0!</v>
      </c>
      <c r="U18" s="15"/>
      <c r="V18" s="65" t="e">
        <f t="shared" si="33"/>
        <v>#DIV/0!</v>
      </c>
      <c r="W18" s="66"/>
      <c r="X18" s="65" t="e">
        <f t="shared" si="34"/>
        <v>#DIV/0!</v>
      </c>
      <c r="Y18" s="67"/>
      <c r="Z18" s="50">
        <f t="shared" si="19"/>
        <v>81.320999999999998</v>
      </c>
      <c r="AA18" s="68">
        <f t="shared" si="35"/>
        <v>0.13553499999999999</v>
      </c>
      <c r="AB18" s="66"/>
      <c r="AC18" s="52">
        <f t="shared" si="3"/>
        <v>-2055</v>
      </c>
      <c r="AD18" s="69">
        <f t="shared" si="26"/>
        <v>-0.51375000000000004</v>
      </c>
      <c r="AE18" s="70"/>
      <c r="AF18" s="69">
        <f t="shared" si="36"/>
        <v>0</v>
      </c>
      <c r="AG18" s="71"/>
      <c r="AH18" s="69">
        <f t="shared" si="37"/>
        <v>0</v>
      </c>
      <c r="AI18" s="66"/>
      <c r="AJ18" s="69">
        <f t="shared" si="38"/>
        <v>0</v>
      </c>
      <c r="AK18" s="71"/>
      <c r="AL18" s="69">
        <f t="shared" si="27"/>
        <v>0</v>
      </c>
      <c r="AM18" s="67"/>
      <c r="AN18" s="68">
        <f t="shared" si="39"/>
        <v>0</v>
      </c>
      <c r="AO18" s="67"/>
      <c r="AP18" s="68">
        <f t="shared" si="28"/>
        <v>0</v>
      </c>
      <c r="AQ18" s="67"/>
      <c r="AR18" s="68" t="e">
        <f t="shared" si="40"/>
        <v>#DIV/0!</v>
      </c>
      <c r="AS18" s="66"/>
      <c r="AT18" s="72">
        <f t="shared" si="9"/>
        <v>10.423999999999999</v>
      </c>
      <c r="AU18" s="69">
        <f t="shared" si="41"/>
        <v>0.20848</v>
      </c>
      <c r="AV18" s="72">
        <f t="shared" si="24"/>
        <v>0</v>
      </c>
      <c r="AW18" s="73" t="e">
        <f t="shared" si="25"/>
        <v>#DIV/0!</v>
      </c>
    </row>
    <row r="19" spans="1:49" x14ac:dyDescent="0.2">
      <c r="A19" s="13">
        <v>17</v>
      </c>
      <c r="B19" s="14"/>
      <c r="C19" s="59" t="s">
        <v>33</v>
      </c>
      <c r="D19" s="60"/>
      <c r="E19" s="59" t="str">
        <f t="shared" ca="1" si="11"/>
        <v>126 Tahun 9 Bulan 11 Hari</v>
      </c>
      <c r="F19" s="15"/>
      <c r="G19" s="15"/>
      <c r="H19" s="61">
        <f t="shared" si="12"/>
        <v>0</v>
      </c>
      <c r="I19" s="62" t="e">
        <f t="shared" si="0"/>
        <v>#DIV/0!</v>
      </c>
      <c r="J19" s="59" t="e">
        <f t="shared" si="13"/>
        <v>#DIV/0!</v>
      </c>
      <c r="K19" s="63"/>
      <c r="L19" s="64"/>
      <c r="M19" s="65">
        <f t="shared" si="29"/>
        <v>0</v>
      </c>
      <c r="N19" s="64"/>
      <c r="O19" s="65">
        <f t="shared" si="30"/>
        <v>0</v>
      </c>
      <c r="P19" s="64"/>
      <c r="Q19" s="65">
        <f t="shared" si="31"/>
        <v>0</v>
      </c>
      <c r="R19" s="47">
        <f t="shared" si="16"/>
        <v>0</v>
      </c>
      <c r="S19" s="15"/>
      <c r="T19" s="65" t="e">
        <f t="shared" si="32"/>
        <v>#DIV/0!</v>
      </c>
      <c r="U19" s="15"/>
      <c r="V19" s="65" t="e">
        <f t="shared" si="33"/>
        <v>#DIV/0!</v>
      </c>
      <c r="W19" s="66"/>
      <c r="X19" s="65" t="e">
        <f t="shared" si="34"/>
        <v>#DIV/0!</v>
      </c>
      <c r="Y19" s="67"/>
      <c r="Z19" s="50">
        <f t="shared" si="19"/>
        <v>81.320999999999998</v>
      </c>
      <c r="AA19" s="68">
        <f t="shared" si="35"/>
        <v>0.13553499999999999</v>
      </c>
      <c r="AB19" s="66"/>
      <c r="AC19" s="52">
        <f t="shared" si="3"/>
        <v>-2055</v>
      </c>
      <c r="AD19" s="69">
        <f t="shared" si="26"/>
        <v>-0.51375000000000004</v>
      </c>
      <c r="AE19" s="70"/>
      <c r="AF19" s="69">
        <f t="shared" si="36"/>
        <v>0</v>
      </c>
      <c r="AG19" s="71"/>
      <c r="AH19" s="69">
        <f t="shared" si="37"/>
        <v>0</v>
      </c>
      <c r="AI19" s="66"/>
      <c r="AJ19" s="69">
        <f t="shared" si="38"/>
        <v>0</v>
      </c>
      <c r="AK19" s="71"/>
      <c r="AL19" s="69">
        <f t="shared" si="27"/>
        <v>0</v>
      </c>
      <c r="AM19" s="67"/>
      <c r="AN19" s="68">
        <f t="shared" si="39"/>
        <v>0</v>
      </c>
      <c r="AO19" s="67"/>
      <c r="AP19" s="68">
        <f t="shared" si="28"/>
        <v>0</v>
      </c>
      <c r="AQ19" s="67"/>
      <c r="AR19" s="68" t="e">
        <f t="shared" si="40"/>
        <v>#DIV/0!</v>
      </c>
      <c r="AS19" s="66"/>
      <c r="AT19" s="72">
        <f t="shared" si="9"/>
        <v>10.423999999999999</v>
      </c>
      <c r="AU19" s="69">
        <f t="shared" si="41"/>
        <v>0.20848</v>
      </c>
      <c r="AV19" s="72">
        <f t="shared" si="24"/>
        <v>0</v>
      </c>
      <c r="AW19" s="73" t="e">
        <f t="shared" si="25"/>
        <v>#DIV/0!</v>
      </c>
    </row>
    <row r="20" spans="1:49" x14ac:dyDescent="0.2">
      <c r="A20" s="13">
        <v>18</v>
      </c>
      <c r="B20" s="14"/>
      <c r="C20" s="59" t="s">
        <v>33</v>
      </c>
      <c r="D20" s="60"/>
      <c r="E20" s="59" t="str">
        <f t="shared" ca="1" si="11"/>
        <v>126 Tahun 9 Bulan 11 Hari</v>
      </c>
      <c r="F20" s="15"/>
      <c r="G20" s="15"/>
      <c r="H20" s="61">
        <f t="shared" si="12"/>
        <v>0</v>
      </c>
      <c r="I20" s="62" t="e">
        <f t="shared" si="0"/>
        <v>#DIV/0!</v>
      </c>
      <c r="J20" s="59" t="e">
        <f t="shared" si="13"/>
        <v>#DIV/0!</v>
      </c>
      <c r="K20" s="63"/>
      <c r="L20" s="64"/>
      <c r="M20" s="65">
        <f t="shared" si="29"/>
        <v>0</v>
      </c>
      <c r="N20" s="64"/>
      <c r="O20" s="65">
        <f t="shared" si="30"/>
        <v>0</v>
      </c>
      <c r="P20" s="64"/>
      <c r="Q20" s="65">
        <f t="shared" si="31"/>
        <v>0</v>
      </c>
      <c r="R20" s="47">
        <f t="shared" si="16"/>
        <v>0</v>
      </c>
      <c r="S20" s="15"/>
      <c r="T20" s="65" t="e">
        <f t="shared" si="32"/>
        <v>#DIV/0!</v>
      </c>
      <c r="U20" s="15"/>
      <c r="V20" s="65" t="e">
        <f t="shared" si="33"/>
        <v>#DIV/0!</v>
      </c>
      <c r="W20" s="66"/>
      <c r="X20" s="65" t="e">
        <f t="shared" si="34"/>
        <v>#DIV/0!</v>
      </c>
      <c r="Y20" s="67"/>
      <c r="Z20" s="50">
        <f t="shared" si="19"/>
        <v>81.320999999999998</v>
      </c>
      <c r="AA20" s="68">
        <f t="shared" si="35"/>
        <v>0.13553499999999999</v>
      </c>
      <c r="AB20" s="66"/>
      <c r="AC20" s="52">
        <f t="shared" si="3"/>
        <v>-2055</v>
      </c>
      <c r="AD20" s="69">
        <f t="shared" si="26"/>
        <v>-0.51375000000000004</v>
      </c>
      <c r="AE20" s="70"/>
      <c r="AF20" s="69">
        <f t="shared" si="36"/>
        <v>0</v>
      </c>
      <c r="AG20" s="71"/>
      <c r="AH20" s="69">
        <f t="shared" si="37"/>
        <v>0</v>
      </c>
      <c r="AI20" s="66"/>
      <c r="AJ20" s="69">
        <f t="shared" si="38"/>
        <v>0</v>
      </c>
      <c r="AK20" s="71"/>
      <c r="AL20" s="69">
        <f t="shared" si="27"/>
        <v>0</v>
      </c>
      <c r="AM20" s="67"/>
      <c r="AN20" s="68">
        <f t="shared" si="39"/>
        <v>0</v>
      </c>
      <c r="AO20" s="67"/>
      <c r="AP20" s="68">
        <f t="shared" si="28"/>
        <v>0</v>
      </c>
      <c r="AQ20" s="67"/>
      <c r="AR20" s="68" t="e">
        <f t="shared" si="40"/>
        <v>#DIV/0!</v>
      </c>
      <c r="AS20" s="66"/>
      <c r="AT20" s="72">
        <f t="shared" si="9"/>
        <v>10.423999999999999</v>
      </c>
      <c r="AU20" s="69">
        <f t="shared" si="41"/>
        <v>0.20848</v>
      </c>
      <c r="AV20" s="72">
        <f t="shared" si="24"/>
        <v>0</v>
      </c>
      <c r="AW20" s="73" t="e">
        <f t="shared" si="25"/>
        <v>#DIV/0!</v>
      </c>
    </row>
    <row r="21" spans="1:49" x14ac:dyDescent="0.2">
      <c r="A21" s="13">
        <v>19</v>
      </c>
      <c r="B21" s="14"/>
      <c r="C21" s="59" t="s">
        <v>33</v>
      </c>
      <c r="D21" s="60"/>
      <c r="E21" s="59" t="str">
        <f t="shared" ca="1" si="11"/>
        <v>126 Tahun 9 Bulan 11 Hari</v>
      </c>
      <c r="F21" s="15"/>
      <c r="G21" s="15"/>
      <c r="H21" s="61">
        <f t="shared" si="12"/>
        <v>0</v>
      </c>
      <c r="I21" s="62" t="e">
        <f t="shared" si="0"/>
        <v>#DIV/0!</v>
      </c>
      <c r="J21" s="59" t="e">
        <f t="shared" si="13"/>
        <v>#DIV/0!</v>
      </c>
      <c r="K21" s="63"/>
      <c r="L21" s="64"/>
      <c r="M21" s="65">
        <f t="shared" si="29"/>
        <v>0</v>
      </c>
      <c r="N21" s="64"/>
      <c r="O21" s="65">
        <f t="shared" si="30"/>
        <v>0</v>
      </c>
      <c r="P21" s="64"/>
      <c r="Q21" s="65">
        <f t="shared" si="31"/>
        <v>0</v>
      </c>
      <c r="R21" s="47">
        <f t="shared" si="16"/>
        <v>0</v>
      </c>
      <c r="S21" s="15"/>
      <c r="T21" s="65" t="e">
        <f t="shared" si="32"/>
        <v>#DIV/0!</v>
      </c>
      <c r="U21" s="15"/>
      <c r="V21" s="65" t="e">
        <f t="shared" si="33"/>
        <v>#DIV/0!</v>
      </c>
      <c r="W21" s="66"/>
      <c r="X21" s="65" t="e">
        <f t="shared" si="34"/>
        <v>#DIV/0!</v>
      </c>
      <c r="Y21" s="67"/>
      <c r="Z21" s="50">
        <f t="shared" si="19"/>
        <v>81.320999999999998</v>
      </c>
      <c r="AA21" s="68">
        <f t="shared" si="35"/>
        <v>0.13553499999999999</v>
      </c>
      <c r="AB21" s="66"/>
      <c r="AC21" s="52">
        <f t="shared" si="3"/>
        <v>-2055</v>
      </c>
      <c r="AD21" s="69">
        <f t="shared" si="26"/>
        <v>-0.51375000000000004</v>
      </c>
      <c r="AE21" s="70"/>
      <c r="AF21" s="69">
        <f t="shared" si="36"/>
        <v>0</v>
      </c>
      <c r="AG21" s="71"/>
      <c r="AH21" s="69">
        <f t="shared" si="37"/>
        <v>0</v>
      </c>
      <c r="AI21" s="66"/>
      <c r="AJ21" s="69">
        <f t="shared" si="38"/>
        <v>0</v>
      </c>
      <c r="AK21" s="71"/>
      <c r="AL21" s="69">
        <f t="shared" si="27"/>
        <v>0</v>
      </c>
      <c r="AM21" s="67"/>
      <c r="AN21" s="68">
        <f t="shared" si="39"/>
        <v>0</v>
      </c>
      <c r="AO21" s="67"/>
      <c r="AP21" s="68">
        <f t="shared" si="28"/>
        <v>0</v>
      </c>
      <c r="AQ21" s="67"/>
      <c r="AR21" s="68" t="e">
        <f t="shared" si="40"/>
        <v>#DIV/0!</v>
      </c>
      <c r="AS21" s="66"/>
      <c r="AT21" s="72">
        <f t="shared" si="9"/>
        <v>10.423999999999999</v>
      </c>
      <c r="AU21" s="69">
        <f t="shared" si="41"/>
        <v>0.20848</v>
      </c>
      <c r="AV21" s="72">
        <f t="shared" si="24"/>
        <v>0</v>
      </c>
      <c r="AW21" s="73" t="e">
        <f t="shared" si="25"/>
        <v>#DIV/0!</v>
      </c>
    </row>
    <row r="22" spans="1:49" x14ac:dyDescent="0.2">
      <c r="A22" s="13">
        <v>20</v>
      </c>
      <c r="B22" s="14"/>
      <c r="C22" s="59" t="s">
        <v>33</v>
      </c>
      <c r="D22" s="60"/>
      <c r="E22" s="59" t="str">
        <f t="shared" ca="1" si="11"/>
        <v>126 Tahun 9 Bulan 11 Hari</v>
      </c>
      <c r="F22" s="15"/>
      <c r="G22" s="15"/>
      <c r="H22" s="61">
        <f t="shared" si="12"/>
        <v>0</v>
      </c>
      <c r="I22" s="62" t="e">
        <f t="shared" si="0"/>
        <v>#DIV/0!</v>
      </c>
      <c r="J22" s="59" t="e">
        <f t="shared" si="13"/>
        <v>#DIV/0!</v>
      </c>
      <c r="K22" s="63"/>
      <c r="L22" s="64"/>
      <c r="M22" s="65">
        <f t="shared" si="29"/>
        <v>0</v>
      </c>
      <c r="N22" s="64"/>
      <c r="O22" s="65">
        <f t="shared" si="30"/>
        <v>0</v>
      </c>
      <c r="P22" s="64"/>
      <c r="Q22" s="65">
        <f t="shared" si="31"/>
        <v>0</v>
      </c>
      <c r="R22" s="47">
        <f t="shared" si="16"/>
        <v>0</v>
      </c>
      <c r="S22" s="15"/>
      <c r="T22" s="65" t="e">
        <f t="shared" si="32"/>
        <v>#DIV/0!</v>
      </c>
      <c r="U22" s="15"/>
      <c r="V22" s="65" t="e">
        <f t="shared" si="33"/>
        <v>#DIV/0!</v>
      </c>
      <c r="W22" s="66"/>
      <c r="X22" s="65" t="e">
        <f t="shared" si="34"/>
        <v>#DIV/0!</v>
      </c>
      <c r="Y22" s="67"/>
      <c r="Z22" s="50">
        <f t="shared" si="19"/>
        <v>81.320999999999998</v>
      </c>
      <c r="AA22" s="68">
        <f t="shared" si="35"/>
        <v>0.13553499999999999</v>
      </c>
      <c r="AB22" s="66"/>
      <c r="AC22" s="52">
        <f t="shared" si="3"/>
        <v>-2055</v>
      </c>
      <c r="AD22" s="69">
        <f t="shared" si="26"/>
        <v>-0.51375000000000004</v>
      </c>
      <c r="AE22" s="70"/>
      <c r="AF22" s="69">
        <f t="shared" si="36"/>
        <v>0</v>
      </c>
      <c r="AG22" s="71"/>
      <c r="AH22" s="69">
        <f t="shared" si="37"/>
        <v>0</v>
      </c>
      <c r="AI22" s="66"/>
      <c r="AJ22" s="69">
        <f t="shared" si="38"/>
        <v>0</v>
      </c>
      <c r="AK22" s="71"/>
      <c r="AL22" s="69">
        <f t="shared" si="27"/>
        <v>0</v>
      </c>
      <c r="AM22" s="67"/>
      <c r="AN22" s="68">
        <f t="shared" si="39"/>
        <v>0</v>
      </c>
      <c r="AO22" s="67"/>
      <c r="AP22" s="68">
        <f t="shared" si="28"/>
        <v>0</v>
      </c>
      <c r="AQ22" s="67"/>
      <c r="AR22" s="68" t="e">
        <f t="shared" si="40"/>
        <v>#DIV/0!</v>
      </c>
      <c r="AS22" s="66"/>
      <c r="AT22" s="72">
        <f t="shared" si="9"/>
        <v>10.423999999999999</v>
      </c>
      <c r="AU22" s="69">
        <f t="shared" si="41"/>
        <v>0.20848</v>
      </c>
      <c r="AV22" s="72">
        <f t="shared" si="24"/>
        <v>0</v>
      </c>
      <c r="AW22" s="73" t="e">
        <f t="shared" si="25"/>
        <v>#DIV/0!</v>
      </c>
    </row>
    <row r="23" spans="1:49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31"/>
      <c r="R23" s="31"/>
      <c r="S23" s="10"/>
      <c r="T23" s="10"/>
      <c r="U23" s="10"/>
      <c r="V23" s="10"/>
      <c r="W23" s="10"/>
      <c r="X23" s="10"/>
      <c r="Y23" s="9"/>
      <c r="Z23" s="9"/>
      <c r="AA23" s="9"/>
      <c r="AB23" s="10"/>
      <c r="AC23" s="10"/>
      <c r="AD23" s="10"/>
      <c r="AE23" s="10"/>
      <c r="AF23" s="16"/>
      <c r="AG23" s="10"/>
      <c r="AH23" s="10"/>
      <c r="AI23" s="10"/>
      <c r="AJ23" s="10"/>
      <c r="AK23" s="10"/>
      <c r="AL23" s="10"/>
      <c r="AM23" s="9"/>
      <c r="AN23" s="9"/>
      <c r="AO23" s="9"/>
      <c r="AP23" s="9"/>
      <c r="AQ23" s="9"/>
      <c r="AR23" s="9"/>
      <c r="AS23" s="10"/>
      <c r="AT23" s="10"/>
      <c r="AU23" s="10"/>
      <c r="AV23" s="10"/>
      <c r="AW23" s="16"/>
    </row>
    <row r="24" spans="1:49" hidden="1" x14ac:dyDescent="0.2">
      <c r="A24" s="10"/>
      <c r="B24" s="17" t="s">
        <v>34</v>
      </c>
      <c r="C24" s="17" t="s">
        <v>32</v>
      </c>
      <c r="D24" s="17"/>
      <c r="E24" s="17"/>
      <c r="F24" s="17"/>
      <c r="G24" s="17"/>
      <c r="H24" s="17"/>
      <c r="I24" s="17"/>
      <c r="J24" s="17"/>
      <c r="K24" s="17"/>
      <c r="L24" s="17">
        <v>27</v>
      </c>
      <c r="M24" s="17"/>
      <c r="N24" s="17">
        <v>50</v>
      </c>
      <c r="O24" s="17"/>
      <c r="P24" s="17">
        <v>50</v>
      </c>
      <c r="Q24" s="17"/>
      <c r="R24" s="17"/>
      <c r="S24" s="17">
        <v>1.6</v>
      </c>
      <c r="T24" s="17"/>
      <c r="U24" s="17">
        <v>5.3</v>
      </c>
      <c r="V24" s="17"/>
      <c r="W24" s="17">
        <v>200</v>
      </c>
      <c r="X24" s="17"/>
      <c r="Y24" s="17"/>
      <c r="Z24" s="17">
        <v>950</v>
      </c>
      <c r="AA24" s="17"/>
      <c r="AB24" s="17"/>
      <c r="AC24" s="17">
        <v>5000</v>
      </c>
      <c r="AD24" s="17"/>
      <c r="AE24" s="17">
        <v>54</v>
      </c>
      <c r="AF24" s="18"/>
      <c r="AG24" s="17">
        <v>60</v>
      </c>
      <c r="AH24" s="17"/>
      <c r="AI24" s="17">
        <v>75</v>
      </c>
      <c r="AJ24" s="17"/>
      <c r="AK24" s="17">
        <v>360</v>
      </c>
      <c r="AL24" s="17"/>
      <c r="AM24" s="17">
        <v>28</v>
      </c>
      <c r="AN24" s="17"/>
      <c r="AO24" s="17">
        <v>120</v>
      </c>
      <c r="AP24" s="17"/>
      <c r="AQ24" s="17">
        <v>48</v>
      </c>
      <c r="AR24" s="17"/>
      <c r="AS24" s="17">
        <v>1000</v>
      </c>
      <c r="AT24" s="17">
        <v>55</v>
      </c>
      <c r="AU24" s="17"/>
      <c r="AV24" s="17"/>
      <c r="AW24" s="10"/>
    </row>
    <row r="25" spans="1:49" hidden="1" x14ac:dyDescent="0.2">
      <c r="A25" s="10"/>
      <c r="B25" s="17"/>
      <c r="C25" s="17" t="s">
        <v>33</v>
      </c>
      <c r="D25" s="17"/>
      <c r="E25" s="17"/>
      <c r="F25" s="17"/>
      <c r="G25" s="17"/>
      <c r="H25" s="17"/>
      <c r="I25" s="17"/>
      <c r="J25" s="17"/>
      <c r="K25" s="17"/>
      <c r="L25" s="17">
        <v>30</v>
      </c>
      <c r="M25" s="17"/>
      <c r="N25" s="17">
        <v>50</v>
      </c>
      <c r="O25" s="17"/>
      <c r="P25" s="17">
        <v>50</v>
      </c>
      <c r="Q25" s="17"/>
      <c r="R25" s="17"/>
      <c r="S25" s="17">
        <v>1.75</v>
      </c>
      <c r="T25" s="17"/>
      <c r="U25" s="17">
        <v>6</v>
      </c>
      <c r="V25" s="17"/>
      <c r="W25" s="17">
        <v>220</v>
      </c>
      <c r="X25" s="17"/>
      <c r="Y25" s="17"/>
      <c r="Z25" s="17">
        <v>600</v>
      </c>
      <c r="AA25" s="17"/>
      <c r="AB25" s="17"/>
      <c r="AC25" s="17">
        <v>4000</v>
      </c>
      <c r="AD25" s="17"/>
      <c r="AE25" s="17">
        <v>35</v>
      </c>
      <c r="AF25" s="18"/>
      <c r="AG25" s="17">
        <v>50</v>
      </c>
      <c r="AH25" s="17"/>
      <c r="AI25" s="17">
        <v>70</v>
      </c>
      <c r="AJ25" s="17"/>
      <c r="AK25" s="17">
        <v>240</v>
      </c>
      <c r="AL25" s="17"/>
      <c r="AM25" s="17">
        <v>22</v>
      </c>
      <c r="AN25" s="17"/>
      <c r="AO25" s="17">
        <v>100</v>
      </c>
      <c r="AP25" s="17"/>
      <c r="AQ25" s="17">
        <v>53</v>
      </c>
      <c r="AR25" s="17"/>
      <c r="AS25" s="17">
        <v>1000</v>
      </c>
      <c r="AT25" s="17">
        <v>50</v>
      </c>
      <c r="AU25" s="17"/>
      <c r="AV25" s="17"/>
      <c r="AW25" s="10"/>
    </row>
    <row r="26" spans="1:49" x14ac:dyDescent="0.2">
      <c r="A26" s="6"/>
      <c r="B26" s="2"/>
    </row>
    <row r="27" spans="1:49" ht="24" x14ac:dyDescent="0.3">
      <c r="A27" s="6"/>
      <c r="B27" s="35" t="s">
        <v>0</v>
      </c>
      <c r="C27" s="38">
        <f>VLOOKUP($B$27,TES_2,8,FALSE)</f>
        <v>23.999459167117362</v>
      </c>
      <c r="W27" s="3"/>
      <c r="X27" s="3"/>
      <c r="Z27" s="1"/>
      <c r="AA27" s="1"/>
      <c r="AD27" s="5"/>
      <c r="AF27" s="1"/>
      <c r="AK27" s="3"/>
      <c r="AL27" s="3"/>
      <c r="AQ27" s="1"/>
      <c r="AR27" s="1"/>
    </row>
    <row r="28" spans="1:49" ht="19" x14ac:dyDescent="0.2">
      <c r="A28" s="6"/>
      <c r="B28" s="33" t="str">
        <f>M2</f>
        <v>Fleksibilitas</v>
      </c>
      <c r="C28" s="32">
        <f>VLOOKUP($B$27,TES_2,12,FALSE)</f>
        <v>0.96296296296296291</v>
      </c>
      <c r="W28" s="3"/>
      <c r="X28" s="3"/>
      <c r="Z28" s="1"/>
      <c r="AA28" s="1"/>
      <c r="AD28" s="5"/>
      <c r="AF28" s="1"/>
      <c r="AK28" s="3"/>
      <c r="AL28" s="3"/>
      <c r="AQ28" s="1"/>
      <c r="AR28" s="1"/>
    </row>
    <row r="29" spans="1:49" ht="19" x14ac:dyDescent="0.2">
      <c r="A29" s="6"/>
      <c r="B29" s="33" t="str">
        <f>R2</f>
        <v>Balance</v>
      </c>
      <c r="C29" s="32">
        <f>VLOOKUP($B$27,TES_2,17,FALSE)</f>
        <v>0.73</v>
      </c>
      <c r="W29" s="3"/>
      <c r="X29" s="3"/>
      <c r="Z29" s="1"/>
      <c r="AA29" s="1"/>
      <c r="AD29" s="5"/>
      <c r="AF29" s="1"/>
      <c r="AK29" s="3"/>
      <c r="AL29" s="3"/>
      <c r="AQ29" s="1"/>
      <c r="AR29" s="1"/>
    </row>
    <row r="30" spans="1:49" ht="19" x14ac:dyDescent="0.2">
      <c r="A30" s="6"/>
      <c r="B30" s="33" t="str">
        <f>T2</f>
        <v>Kecepatan</v>
      </c>
      <c r="C30" s="32">
        <f>VLOOKUP($B$27,TES_2,19,FALSE)</f>
        <v>0.96969696969696983</v>
      </c>
      <c r="W30" s="3"/>
      <c r="X30" s="3"/>
      <c r="Z30" s="1"/>
      <c r="AA30" s="1"/>
      <c r="AD30" s="5"/>
      <c r="AF30" s="1"/>
      <c r="AK30" s="3"/>
      <c r="AL30" s="3"/>
      <c r="AQ30" s="1"/>
      <c r="AR30" s="1"/>
    </row>
    <row r="31" spans="1:49" ht="19" x14ac:dyDescent="0.25">
      <c r="A31" s="6"/>
      <c r="B31" s="34" t="str">
        <f>V2</f>
        <v>Agility</v>
      </c>
      <c r="C31" s="32">
        <f>VLOOKUP($B$27,TES_2,21,FALSE)</f>
        <v>0.99065420560747663</v>
      </c>
      <c r="W31" s="3"/>
      <c r="X31" s="3"/>
      <c r="Z31" s="1"/>
      <c r="AA31" s="1"/>
      <c r="AD31" s="5"/>
      <c r="AF31" s="1"/>
      <c r="AK31" s="3"/>
      <c r="AL31" s="3"/>
      <c r="AQ31" s="1"/>
      <c r="AR31" s="1"/>
    </row>
    <row r="32" spans="1:49" ht="19" x14ac:dyDescent="0.2">
      <c r="A32" s="6"/>
      <c r="B32" s="33" t="str">
        <f>X2</f>
        <v>Reaction</v>
      </c>
      <c r="C32" s="32">
        <f>VLOOKUP($B$27,TES_2,23,FALSE)</f>
        <v>0.86956521739130432</v>
      </c>
      <c r="W32" s="3"/>
      <c r="X32" s="3"/>
      <c r="Z32" s="1"/>
      <c r="AA32" s="1"/>
      <c r="AD32" s="5"/>
      <c r="AF32" s="1"/>
      <c r="AK32" s="3"/>
      <c r="AL32" s="3"/>
      <c r="AQ32" s="1"/>
      <c r="AR32" s="1"/>
    </row>
    <row r="33" spans="1:44" ht="19" x14ac:dyDescent="0.2">
      <c r="A33" s="6"/>
      <c r="B33" s="33" t="str">
        <f>AA2</f>
        <v>Power Lengan</v>
      </c>
      <c r="C33" s="32">
        <f>VLOOKUP($B$27,TES_2,26,FALSE)</f>
        <v>0.87971494736842104</v>
      </c>
      <c r="Y33" s="1"/>
      <c r="Z33" s="1"/>
      <c r="AA33" s="1"/>
      <c r="AF33" s="1"/>
      <c r="AM33" s="1"/>
      <c r="AN33" s="1"/>
      <c r="AO33" s="1"/>
      <c r="AP33" s="1"/>
      <c r="AQ33" s="1"/>
      <c r="AR33" s="1"/>
    </row>
    <row r="34" spans="1:44" ht="19" x14ac:dyDescent="0.2">
      <c r="A34" s="6"/>
      <c r="B34" s="33" t="str">
        <f>AD2</f>
        <v>Power Tungkai</v>
      </c>
      <c r="C34" s="32">
        <f>VLOOKUP($B$27,TES_2,29,FALSE)</f>
        <v>0.96065999999999985</v>
      </c>
      <c r="Y34" s="1"/>
      <c r="Z34" s="1"/>
      <c r="AA34" s="1"/>
      <c r="AF34" s="1"/>
      <c r="AM34" s="1"/>
      <c r="AN34" s="1"/>
      <c r="AO34" s="1"/>
      <c r="AP34" s="1"/>
      <c r="AQ34" s="1"/>
      <c r="AR34" s="1"/>
    </row>
    <row r="35" spans="1:44" ht="19" x14ac:dyDescent="0.2">
      <c r="A35" s="6"/>
      <c r="B35" s="33" t="str">
        <f>AF2</f>
        <v>DT Kekuatan Upper</v>
      </c>
      <c r="C35" s="32">
        <f>VLOOKUP($B$27,TES_2,31,FALSE)</f>
        <v>1.0185185185185186</v>
      </c>
      <c r="Y35" s="1"/>
      <c r="Z35" s="1"/>
      <c r="AA35" s="1"/>
      <c r="AF35" s="1"/>
      <c r="AM35" s="1"/>
      <c r="AN35" s="1"/>
      <c r="AO35" s="1"/>
      <c r="AP35" s="1"/>
      <c r="AQ35" s="1"/>
      <c r="AR35" s="1"/>
    </row>
    <row r="36" spans="1:44" ht="19" x14ac:dyDescent="0.2">
      <c r="A36" s="6"/>
      <c r="B36" s="33" t="str">
        <f>AH2</f>
        <v xml:space="preserve">DT Kekuatan Middle </v>
      </c>
      <c r="C36" s="32">
        <f>VLOOKUP($B$27,TES_2,33,FALSE)</f>
        <v>1</v>
      </c>
      <c r="Y36" s="1"/>
      <c r="Z36" s="1"/>
      <c r="AA36" s="1"/>
      <c r="AF36" s="1"/>
      <c r="AM36" s="1"/>
      <c r="AN36" s="1"/>
      <c r="AO36" s="1"/>
      <c r="AP36" s="1"/>
      <c r="AQ36" s="1"/>
      <c r="AR36" s="1"/>
    </row>
    <row r="37" spans="1:44" ht="19" x14ac:dyDescent="0.2">
      <c r="A37" s="6"/>
      <c r="B37" s="33" t="str">
        <f>AJ2</f>
        <v>DT Kekuatan Lower</v>
      </c>
      <c r="C37" s="32">
        <f>VLOOKUP($B$27,TES_2,35,FALSE)</f>
        <v>0.97333333333333338</v>
      </c>
      <c r="Y37" s="1"/>
      <c r="Z37" s="1"/>
      <c r="AA37" s="1"/>
      <c r="AF37" s="1"/>
      <c r="AM37" s="1"/>
      <c r="AN37" s="1"/>
      <c r="AO37" s="1"/>
      <c r="AP37" s="1"/>
      <c r="AQ37" s="1"/>
      <c r="AR37" s="1"/>
    </row>
    <row r="38" spans="1:44" ht="19" x14ac:dyDescent="0.2">
      <c r="A38" s="6"/>
      <c r="B38" s="33" t="str">
        <f>AL2</f>
        <v>DT Kekuatan Middle Statis</v>
      </c>
      <c r="C38" s="32">
        <f>VLOOKUP($B$27,TES_2,37,FALSE)</f>
        <v>0.97222222222222221</v>
      </c>
      <c r="Y38" s="1"/>
      <c r="Z38" s="1"/>
      <c r="AA38" s="1"/>
      <c r="AF38" s="1"/>
      <c r="AM38" s="1"/>
      <c r="AN38" s="1"/>
      <c r="AO38" s="1"/>
      <c r="AP38" s="1"/>
      <c r="AQ38" s="1"/>
      <c r="AR38" s="1"/>
    </row>
    <row r="39" spans="1:44" ht="19" x14ac:dyDescent="0.2">
      <c r="A39" s="6"/>
      <c r="B39" s="33" t="str">
        <f>AN2</f>
        <v>Upper Power Endurance</v>
      </c>
      <c r="C39" s="32">
        <f>VLOOKUP($B$27,TES_2,39,FALSE)</f>
        <v>0.8928571428571429</v>
      </c>
      <c r="E39" s="7"/>
      <c r="F39" s="7"/>
      <c r="Y39" s="1"/>
      <c r="Z39" s="1"/>
      <c r="AA39" s="1"/>
      <c r="AF39" s="1"/>
      <c r="AM39" s="1"/>
      <c r="AN39" s="1"/>
      <c r="AO39" s="1"/>
      <c r="AP39" s="1"/>
      <c r="AQ39" s="1"/>
      <c r="AR39" s="1"/>
    </row>
    <row r="40" spans="1:44" ht="19" x14ac:dyDescent="0.2">
      <c r="A40" s="6"/>
      <c r="B40" s="33" t="str">
        <f>AP2</f>
        <v>Lower Power Endurance</v>
      </c>
      <c r="C40" s="32">
        <f>VLOOKUP($B$27,TES_2,41,FALSE)</f>
        <v>0.95833333333333337</v>
      </c>
      <c r="E40" s="7"/>
      <c r="F40" s="7"/>
      <c r="Y40" s="1"/>
      <c r="Z40" s="1"/>
      <c r="AA40" s="1"/>
      <c r="AF40" s="1"/>
      <c r="AM40" s="1"/>
      <c r="AN40" s="1"/>
      <c r="AO40" s="1"/>
      <c r="AP40" s="1"/>
      <c r="AQ40" s="1"/>
      <c r="AR40" s="1"/>
    </row>
    <row r="41" spans="1:44" ht="19" x14ac:dyDescent="0.2">
      <c r="A41" s="6"/>
      <c r="B41" s="33" t="str">
        <f>AR2</f>
        <v>Anaerobic Endurance</v>
      </c>
      <c r="C41" s="32">
        <f>VLOOKUP($B$27,TES_2,43,FALSE)</f>
        <v>0.96</v>
      </c>
      <c r="E41" s="7"/>
      <c r="F41" s="7"/>
      <c r="Y41" s="1"/>
      <c r="Z41" s="1"/>
      <c r="AA41" s="1"/>
      <c r="AF41" s="1"/>
      <c r="AM41" s="1"/>
      <c r="AN41" s="1"/>
      <c r="AO41" s="1"/>
      <c r="AP41" s="1"/>
      <c r="AQ41" s="1"/>
      <c r="AR41" s="1"/>
    </row>
    <row r="42" spans="1:44" ht="19" x14ac:dyDescent="0.2">
      <c r="A42" s="6"/>
      <c r="B42" s="33" t="str">
        <f>AU2</f>
        <v>Aerobic</v>
      </c>
      <c r="C42" s="32">
        <f>VLOOKUP($B$27,TES_2,46,FALSE)</f>
        <v>0.81498181818181814</v>
      </c>
      <c r="E42" s="7"/>
      <c r="F42" s="7"/>
      <c r="Y42" s="1"/>
      <c r="Z42" s="1"/>
      <c r="AA42" s="1"/>
      <c r="AF42" s="1"/>
      <c r="AM42" s="1"/>
      <c r="AN42" s="1"/>
      <c r="AO42" s="1"/>
      <c r="AP42" s="1"/>
      <c r="AQ42" s="1"/>
      <c r="AR42" s="1"/>
    </row>
    <row r="43" spans="1:44" ht="31" x14ac:dyDescent="0.25">
      <c r="A43" s="6"/>
      <c r="B43" s="37" t="s">
        <v>35</v>
      </c>
      <c r="C43" s="36">
        <f>AVERAGE(C28:C39)</f>
        <v>0.93501545999652913</v>
      </c>
      <c r="Y43" s="1"/>
      <c r="Z43" s="1"/>
      <c r="AA43" s="1"/>
      <c r="AF43" s="1"/>
      <c r="AM43" s="1"/>
      <c r="AN43" s="1"/>
      <c r="AO43" s="1"/>
      <c r="AP43" s="1"/>
      <c r="AQ43" s="1"/>
      <c r="AR43" s="1"/>
    </row>
    <row r="44" spans="1:44" x14ac:dyDescent="0.2">
      <c r="A44" s="6"/>
      <c r="C44" s="30"/>
      <c r="D44" s="30"/>
      <c r="E44" s="30"/>
      <c r="Y44" s="1"/>
      <c r="Z44" s="1"/>
      <c r="AA44" s="1"/>
      <c r="AF44" s="1"/>
      <c r="AM44" s="1"/>
      <c r="AN44" s="1"/>
      <c r="AO44" s="1"/>
      <c r="AP44" s="1"/>
      <c r="AQ44" s="1"/>
      <c r="AR44" s="1"/>
    </row>
    <row r="45" spans="1:44" x14ac:dyDescent="0.2">
      <c r="C45" s="30"/>
      <c r="D45" s="30"/>
      <c r="E45" s="30"/>
    </row>
    <row r="46" spans="1:44" x14ac:dyDescent="0.2">
      <c r="C46" s="30"/>
      <c r="D46" s="30"/>
      <c r="E46" s="30"/>
    </row>
    <row r="47" spans="1:44" x14ac:dyDescent="0.2">
      <c r="C47" s="30"/>
      <c r="D47" s="30"/>
      <c r="E47" s="30"/>
    </row>
    <row r="48" spans="1:44" x14ac:dyDescent="0.2">
      <c r="C48" s="30"/>
      <c r="D48" s="30"/>
      <c r="E48" s="30"/>
    </row>
  </sheetData>
  <conditionalFormatting sqref="T3:T22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3:AF22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P3:AP22 AR3:AR22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:AA22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3:AJ22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3:AL22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:V22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:X22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3:AU22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:AD22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W3:AW22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0">
      <colorScale>
        <cfvo type="min"/>
        <cfvo type="max"/>
        <color rgb="FFFF7128"/>
        <color rgb="FFFFEF9C"/>
      </colorScale>
    </cfRule>
  </conditionalFormatting>
  <conditionalFormatting sqref="AH3:AH22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:M22 O3:O22 Q3:R22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:AC22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N3:AN22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B27" xr:uid="{1804C641-90E6-7D4C-AE94-3C53331C7BA2}">
      <formula1>$B$3:$B$22</formula1>
    </dataValidation>
  </dataValidations>
  <pageMargins left="0.7" right="0.7" top="0.75" bottom="0.75" header="0.3" footer="0.3"/>
  <pageSetup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Profil Kondisi Fisik</vt:lpstr>
      <vt:lpstr>Fix</vt:lpstr>
      <vt:lpstr>TES_1</vt:lpstr>
      <vt:lpstr>TES_2</vt:lpstr>
      <vt:lpstr>TEST</vt:lpstr>
      <vt:lpstr>'Profil Kondisi Fisik'!test1</vt:lpstr>
      <vt:lpstr>'Profil Kondisi Fisik'!TESt2</vt:lpstr>
      <vt:lpstr>TEST4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2025-11-16T12:15:46Z</cp:lastPrinted>
  <dcterms:created xsi:type="dcterms:W3CDTF">2025-09-24T12:16:41Z</dcterms:created>
  <dcterms:modified xsi:type="dcterms:W3CDTF">2026-10-11T08:25:11Z</dcterms:modified>
</cp:coreProperties>
</file>